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4 - '24\B info o stopie bezrobocia\"/>
    </mc:Choice>
  </mc:AlternateContent>
  <xr:revisionPtr revIDLastSave="0" documentId="13_ncr:1_{C2D70337-2BB9-4DEE-B3AA-586BD8F6658E}" xr6:coauthVersionLast="47" xr6:coauthVersionMax="47" xr10:uidLastSave="{00000000-0000-0000-0000-000000000000}"/>
  <bookViews>
    <workbookView xWindow="-120" yWindow="-120" windowWidth="29040" windowHeight="15720" tabRatio="949" activeTab="1" xr2:uid="{00000000-000D-0000-FFFF-FFFF00000000}"/>
  </bookViews>
  <sheets>
    <sheet name="1s.bezr.Pol" sheetId="8" r:id="rId1"/>
    <sheet name="1sort" sheetId="16" r:id="rId2"/>
    <sheet name="2s.bezr.pow." sheetId="13" r:id="rId3"/>
    <sheet name="2sort" sheetId="17" r:id="rId4"/>
    <sheet name="XXXIII" sheetId="2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6" l="1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E12" i="8"/>
  <c r="E19" i="8"/>
  <c r="E18" i="8"/>
  <c r="E17" i="8"/>
  <c r="E16" i="8"/>
  <c r="E15" i="8"/>
  <c r="E14" i="8"/>
  <c r="E13" i="8"/>
  <c r="E11" i="8"/>
  <c r="E10" i="8"/>
  <c r="E9" i="8"/>
  <c r="E8" i="8"/>
  <c r="E7" i="8"/>
  <c r="E6" i="8"/>
  <c r="E5" i="8"/>
  <c r="E4" i="8"/>
  <c r="E3" i="8"/>
  <c r="D14" i="16" l="1"/>
  <c r="C14" i="16"/>
  <c r="C4" i="16"/>
  <c r="C5" i="16"/>
  <c r="C6" i="16"/>
  <c r="I29" i="29"/>
  <c r="H29" i="29"/>
  <c r="G29" i="29"/>
  <c r="I36" i="29"/>
  <c r="H36" i="29"/>
  <c r="G36" i="29"/>
  <c r="I35" i="29"/>
  <c r="H35" i="29"/>
  <c r="G35" i="29"/>
  <c r="I34" i="29"/>
  <c r="H34" i="29"/>
  <c r="G34" i="29"/>
  <c r="I33" i="29"/>
  <c r="H33" i="29"/>
  <c r="G33" i="29"/>
  <c r="I32" i="29"/>
  <c r="H32" i="29"/>
  <c r="G32" i="29"/>
  <c r="I31" i="29"/>
  <c r="H31" i="29"/>
  <c r="G31" i="29"/>
  <c r="I30" i="29"/>
  <c r="H30" i="29"/>
  <c r="G30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I17" i="29"/>
  <c r="H17" i="29"/>
  <c r="G17" i="29"/>
  <c r="I16" i="29"/>
  <c r="H16" i="29"/>
  <c r="G16" i="29"/>
  <c r="I15" i="29"/>
  <c r="H15" i="29"/>
  <c r="G15" i="29"/>
  <c r="I14" i="29"/>
  <c r="H14" i="29"/>
  <c r="G14" i="29"/>
  <c r="I13" i="29"/>
  <c r="H13" i="29"/>
  <c r="G13" i="29"/>
  <c r="I12" i="29"/>
  <c r="H12" i="29"/>
  <c r="G12" i="29"/>
  <c r="I11" i="29"/>
  <c r="H11" i="29"/>
  <c r="G11" i="29"/>
  <c r="C31" i="17"/>
  <c r="B21" i="16"/>
  <c r="E12" i="13" l="1"/>
  <c r="G12" i="13"/>
  <c r="G6" i="13" l="1"/>
  <c r="E6" i="13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E29" i="13" l="1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F27" i="17" l="1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E5" i="16"/>
  <c r="E13" i="16"/>
  <c r="F12" i="16"/>
  <c r="G7" i="16"/>
  <c r="H6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13" i="16"/>
  <c r="C20" i="16"/>
  <c r="C8" i="16"/>
  <c r="C12" i="16"/>
  <c r="C16" i="16"/>
  <c r="H3" i="17"/>
  <c r="G3" i="17"/>
  <c r="F3" i="17"/>
  <c r="E3" i="17"/>
  <c r="D3" i="17"/>
  <c r="C3" i="17"/>
  <c r="H3" i="16"/>
  <c r="G3" i="16"/>
  <c r="F3" i="16"/>
  <c r="E3" i="16"/>
  <c r="D3" i="16"/>
  <c r="C3" i="16"/>
</calcChain>
</file>

<file path=xl/sharedStrings.xml><?xml version="1.0" encoding="utf-8"?>
<sst xmlns="http://schemas.openxmlformats.org/spreadsheetml/2006/main" count="94" uniqueCount="69">
  <si>
    <t>powiaty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</si>
  <si>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</si>
  <si>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</si>
  <si>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</si>
  <si>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</si>
  <si>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</si>
  <si>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</si>
  <si>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</si>
  <si>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</si>
  <si>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</si>
  <si>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</si>
  <si>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</si>
  <si>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</si>
  <si>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</si>
  <si>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</si>
  <si>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</si>
  <si>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</si>
  <si>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</si>
  <si>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</si>
  <si>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</si>
  <si>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</si>
  <si>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</si>
  <si>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</si>
  <si>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</si>
  <si>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</si>
  <si>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</si>
  <si>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</si>
  <si>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</si>
  <si>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</si>
  <si>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</si>
  <si>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</si>
  <si>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</si>
  <si>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</si>
  <si>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</si>
  <si>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</si>
  <si>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</si>
  <si>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</si>
  <si>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</si>
  <si>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</si>
  <si>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</si>
  <si>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</si>
  <si>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</si>
  <si>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</si>
  <si>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</si>
  <si>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 lub spadek do poprzedniego miesiąca (pkt. proc.)</t>
  </si>
  <si>
    <t>lokata</t>
  </si>
  <si>
    <t>Stopa bezrobocia rejestrowanego - wg województw</t>
  </si>
  <si>
    <t>Stopa bezrobocia rejestrowanego - wg powiatów w województwie podkarpackim</t>
  </si>
  <si>
    <t>wzrost lub spadek do początku roku (pkt. proc.)</t>
  </si>
  <si>
    <t>wzrost/spadek do początku roku (pkt. proc.)</t>
  </si>
  <si>
    <t>WARMIŃSKO - MAZURSKIE</t>
  </si>
  <si>
    <t xml:space="preserve">* GUS, Bank Danych Lokalnych </t>
  </si>
  <si>
    <t>Stopa bezrobocia [proc.]</t>
  </si>
  <si>
    <t>Liczba bezrobotnych</t>
  </si>
  <si>
    <t>stan na</t>
  </si>
  <si>
    <t>bezrobotni ogółem</t>
  </si>
  <si>
    <t>w tym kobiety</t>
  </si>
  <si>
    <t>w tym mężczyźni</t>
  </si>
  <si>
    <t>proc. kobiet</t>
  </si>
  <si>
    <t>proc. mężczyzn</t>
  </si>
  <si>
    <t xml:space="preserve">stan na </t>
  </si>
  <si>
    <t>Polska</t>
  </si>
  <si>
    <t>podkarpackie</t>
  </si>
  <si>
    <t>Stopa bezrobocia stan na 31-03-'24 r. (w proc.)*</t>
  </si>
  <si>
    <r>
      <t>Stopa bezrobocia stan na 30</t>
    </r>
    <r>
      <rPr>
        <sz val="12"/>
        <color theme="1"/>
        <rFont val="Arial"/>
        <family val="2"/>
        <charset val="238"/>
      </rPr>
      <t xml:space="preserve">-04-'24 r. </t>
    </r>
    <r>
      <rPr>
        <sz val="11"/>
        <color theme="1"/>
        <rFont val="Arial"/>
        <family val="2"/>
        <charset val="238"/>
      </rPr>
      <t>(w proc.)*</t>
    </r>
  </si>
  <si>
    <r>
      <t>Stopa bezrobocia stan na 30</t>
    </r>
    <r>
      <rPr>
        <sz val="12"/>
        <color theme="1"/>
        <rFont val="Arial"/>
        <family val="2"/>
        <charset val="238"/>
      </rPr>
      <t>-04-'23 r.</t>
    </r>
    <r>
      <rPr>
        <sz val="11"/>
        <color theme="1"/>
        <rFont val="Arial"/>
        <family val="2"/>
        <charset val="238"/>
      </rPr>
      <t xml:space="preserve"> (w proc.)*</t>
    </r>
  </si>
  <si>
    <t>Stopa bezrobocia stan na 31-03-'24 r. w proc. *</t>
  </si>
  <si>
    <r>
      <t>Stopa bezrobocia stan na 30</t>
    </r>
    <r>
      <rPr>
        <sz val="12"/>
        <color theme="1"/>
        <rFont val="Arial"/>
        <family val="2"/>
        <charset val="238"/>
      </rPr>
      <t xml:space="preserve">-04-'24 </t>
    </r>
    <r>
      <rPr>
        <sz val="11"/>
        <color theme="1"/>
        <rFont val="Arial"/>
        <family val="2"/>
        <charset val="238"/>
      </rPr>
      <t>r. w proc.*</t>
    </r>
  </si>
  <si>
    <r>
      <t>Stopa bezrobocia stan na 30</t>
    </r>
    <r>
      <rPr>
        <sz val="12"/>
        <color theme="1"/>
        <rFont val="Arial"/>
        <family val="2"/>
        <charset val="238"/>
      </rPr>
      <t>-04-'23 r</t>
    </r>
    <r>
      <rPr>
        <sz val="11"/>
        <color theme="1"/>
        <rFont val="Arial"/>
        <family val="2"/>
        <charset val="238"/>
      </rPr>
      <t>. w proc.*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</si>
</sst>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Times"/>
      <charset val="238"/>
    </font>
    <font>
      <b/>
      <sz val="11"/>
      <name val="Times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right" vertical="center"/>
    </xf>
    <xf numFmtId="0" fontId="9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40"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7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10" fillId="2" borderId="0" xfId="2" applyFont="1" applyFill="1"/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165" fontId="2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1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15" fontId="2" fillId="3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/>
    <xf numFmtId="0" fontId="15" fillId="5" borderId="2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3" fontId="15" fillId="5" borderId="12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14" fontId="15" fillId="2" borderId="4" xfId="0" applyNumberFormat="1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164" fontId="16" fillId="2" borderId="14" xfId="0" applyNumberFormat="1" applyFont="1" applyFill="1" applyBorder="1" applyAlignment="1">
      <alignment horizontal="center" vertical="center"/>
    </xf>
    <xf numFmtId="164" fontId="16" fillId="2" borderId="15" xfId="0" applyNumberFormat="1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164" fontId="16" fillId="2" borderId="16" xfId="0" applyNumberFormat="1" applyFont="1" applyFill="1" applyBorder="1" applyAlignment="1">
      <alignment horizontal="center" vertical="center"/>
    </xf>
    <xf numFmtId="164" fontId="16" fillId="2" borderId="17" xfId="0" applyNumberFormat="1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4" fontId="15" fillId="2" borderId="6" xfId="0" applyNumberFormat="1" applyFont="1" applyFill="1" applyBorder="1" applyAlignment="1">
      <alignment horizontal="center"/>
    </xf>
    <xf numFmtId="0" fontId="15" fillId="2" borderId="17" xfId="0" applyFont="1" applyFill="1" applyBorder="1"/>
    <xf numFmtId="3" fontId="15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5" fillId="2" borderId="7" xfId="0" applyNumberFormat="1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3" fontId="16" fillId="0" borderId="18" xfId="0" applyNumberFormat="1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14" fontId="15" fillId="2" borderId="8" xfId="0" applyNumberFormat="1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14" fontId="15" fillId="0" borderId="4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4" fontId="15" fillId="2" borderId="4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3" fontId="15" fillId="2" borderId="13" xfId="0" applyNumberFormat="1" applyFont="1" applyFill="1" applyBorder="1" applyAlignment="1">
      <alignment horizontal="center" vertical="center"/>
    </xf>
    <xf numFmtId="164" fontId="15" fillId="2" borderId="13" xfId="0" applyNumberFormat="1" applyFont="1" applyFill="1" applyBorder="1" applyAlignment="1">
      <alignment horizontal="center" vertical="center"/>
    </xf>
    <xf numFmtId="164" fontId="15" fillId="2" borderId="5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/>
    </xf>
    <xf numFmtId="14" fontId="15" fillId="2" borderId="10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3" fontId="15" fillId="2" borderId="19" xfId="0" applyNumberFormat="1" applyFont="1" applyFill="1" applyBorder="1" applyAlignment="1">
      <alignment horizontal="center" vertical="center"/>
    </xf>
    <xf numFmtId="164" fontId="15" fillId="2" borderId="19" xfId="0" applyNumberFormat="1" applyFont="1" applyFill="1" applyBorder="1" applyAlignment="1">
      <alignment horizontal="center" vertical="center"/>
    </xf>
    <xf numFmtId="164" fontId="15" fillId="2" borderId="11" xfId="0" applyNumberFormat="1" applyFont="1" applyFill="1" applyBorder="1" applyAlignment="1">
      <alignment horizontal="center" vertical="center"/>
    </xf>
    <xf numFmtId="14" fontId="15" fillId="2" borderId="10" xfId="0" applyNumberFormat="1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4" fontId="15" fillId="2" borderId="8" xfId="0" applyNumberFormat="1" applyFont="1" applyFill="1" applyBorder="1" applyAlignment="1">
      <alignment horizontal="center" vertical="center"/>
    </xf>
    <xf numFmtId="165" fontId="15" fillId="0" borderId="18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14" fontId="15" fillId="2" borderId="20" xfId="0" applyNumberFormat="1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165" fontId="16" fillId="0" borderId="21" xfId="0" applyNumberFormat="1" applyFont="1" applyBorder="1" applyAlignment="1">
      <alignment horizontal="center" vertical="center"/>
    </xf>
    <xf numFmtId="165" fontId="15" fillId="0" borderId="22" xfId="0" applyNumberFormat="1" applyFont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164" fontId="15" fillId="2" borderId="18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5">
    <cellStyle name="Hiperłącze" xfId="2" builtinId="8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8EDEC"/>
      <color rgb="FFF5E4E3"/>
      <color rgb="FFFDE2CB"/>
      <color rgb="FF0000FF"/>
      <color rgb="FFFABF8F"/>
      <color rgb="FFC49F00"/>
      <color rgb="FFFFCC00"/>
      <color rgb="FFCCFFFF"/>
      <color rgb="FFFFF2B3"/>
      <color rgb="FFFFEE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27654538642851895"/>
          <c:y val="3.47423701265442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MAZOWIECKIE</c:v>
                </c:pt>
                <c:pt idx="3">
                  <c:v>MAŁOPOLSKIE</c:v>
                </c:pt>
                <c:pt idx="4">
                  <c:v>LUBUSKIE</c:v>
                </c:pt>
                <c:pt idx="5">
                  <c:v>DOLNOŚLĄSKIE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PODLASKIE</c:v>
                </c:pt>
                <c:pt idx="12">
                  <c:v>KUJAWSKO-POMORSKIE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'1sort'!$D$4:$D$20</c:f>
              <c:numCache>
                <c:formatCode>0.0</c:formatCode>
                <c:ptCount val="17"/>
                <c:pt idx="0">
                  <c:v>3.1</c:v>
                </c:pt>
                <c:pt idx="1">
                  <c:v>3.7</c:v>
                </c:pt>
                <c:pt idx="2">
                  <c:v>4.0999999999999996</c:v>
                </c:pt>
                <c:pt idx="3">
                  <c:v>4.3</c:v>
                </c:pt>
                <c:pt idx="4">
                  <c:v>4.5</c:v>
                </c:pt>
                <c:pt idx="5">
                  <c:v>4.5999999999999996</c:v>
                </c:pt>
                <c:pt idx="6">
                  <c:v>4.8</c:v>
                </c:pt>
                <c:pt idx="7">
                  <c:v>5.0999999999999996</c:v>
                </c:pt>
                <c:pt idx="8">
                  <c:v>5.4</c:v>
                </c:pt>
                <c:pt idx="9">
                  <c:v>5.7</c:v>
                </c:pt>
                <c:pt idx="10">
                  <c:v>6.8</c:v>
                </c:pt>
                <c:pt idx="11">
                  <c:v>6.9</c:v>
                </c:pt>
                <c:pt idx="12">
                  <c:v>7.1</c:v>
                </c:pt>
                <c:pt idx="13">
                  <c:v>7.5</c:v>
                </c:pt>
                <c:pt idx="14">
                  <c:v>7.5</c:v>
                </c:pt>
                <c:pt idx="15">
                  <c:v>8.1</c:v>
                </c:pt>
                <c:pt idx="16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8801292390590288"/>
          <c:y val="3.19378591910301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Powiat stalowowolski</c:v>
                </c:pt>
                <c:pt idx="4">
                  <c:v>Powiat mielecki</c:v>
                </c:pt>
                <c:pt idx="5">
                  <c:v>POLSKA</c:v>
                </c:pt>
                <c:pt idx="6">
                  <c:v>Powiat m.Tarnobrzeg</c:v>
                </c:pt>
                <c:pt idx="7">
                  <c:v>Powiat tarnobrzeski</c:v>
                </c:pt>
                <c:pt idx="8">
                  <c:v>Powiat rzeszowski</c:v>
                </c:pt>
                <c:pt idx="9">
                  <c:v>Powiat kolbuszowski</c:v>
                </c:pt>
                <c:pt idx="10">
                  <c:v>Powiat sanocki</c:v>
                </c:pt>
                <c:pt idx="11">
                  <c:v>PODKARPACKIE</c:v>
                </c:pt>
                <c:pt idx="12">
                  <c:v>Powiat krośnieński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jarosławski</c:v>
                </c:pt>
                <c:pt idx="17">
                  <c:v>Powiat ropczycko-sędziszowski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przemyski</c:v>
                </c:pt>
                <c:pt idx="22">
                  <c:v>Powiat bieszczadzki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'2sort'!$D$4:$D$30</c:f>
              <c:numCache>
                <c:formatCode>0.0</c:formatCode>
                <c:ptCount val="27"/>
                <c:pt idx="0">
                  <c:v>3.2</c:v>
                </c:pt>
                <c:pt idx="1">
                  <c:v>4.0999999999999996</c:v>
                </c:pt>
                <c:pt idx="2">
                  <c:v>4.5999999999999996</c:v>
                </c:pt>
                <c:pt idx="3">
                  <c:v>4.8</c:v>
                </c:pt>
                <c:pt idx="4">
                  <c:v>5</c:v>
                </c:pt>
                <c:pt idx="5">
                  <c:v>5.0999999999999996</c:v>
                </c:pt>
                <c:pt idx="6">
                  <c:v>7.1</c:v>
                </c:pt>
                <c:pt idx="7">
                  <c:v>7.2</c:v>
                </c:pt>
                <c:pt idx="8">
                  <c:v>7.5</c:v>
                </c:pt>
                <c:pt idx="9">
                  <c:v>7.7</c:v>
                </c:pt>
                <c:pt idx="10">
                  <c:v>8.1</c:v>
                </c:pt>
                <c:pt idx="11">
                  <c:v>8.5</c:v>
                </c:pt>
                <c:pt idx="12">
                  <c:v>8.6</c:v>
                </c:pt>
                <c:pt idx="13">
                  <c:v>9.4</c:v>
                </c:pt>
                <c:pt idx="14">
                  <c:v>9.5</c:v>
                </c:pt>
                <c:pt idx="15">
                  <c:v>9.8000000000000007</c:v>
                </c:pt>
                <c:pt idx="16">
                  <c:v>10.5</c:v>
                </c:pt>
                <c:pt idx="17">
                  <c:v>10.9</c:v>
                </c:pt>
                <c:pt idx="18">
                  <c:v>12.7</c:v>
                </c:pt>
                <c:pt idx="19">
                  <c:v>12.7</c:v>
                </c:pt>
                <c:pt idx="20">
                  <c:v>14.2</c:v>
                </c:pt>
                <c:pt idx="21">
                  <c:v>14.7</c:v>
                </c:pt>
                <c:pt idx="22">
                  <c:v>14.8</c:v>
                </c:pt>
                <c:pt idx="23">
                  <c:v>15.8</c:v>
                </c:pt>
                <c:pt idx="24">
                  <c:v>16.8</c:v>
                </c:pt>
                <c:pt idx="25">
                  <c:v>18.399999999999999</c:v>
                </c:pt>
                <c:pt idx="26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stycznia danego roku</a:t>
            </a:r>
          </a:p>
        </c:rich>
      </c:tx>
      <c:layout>
        <c:manualLayout>
          <c:xMode val="edge"/>
          <c:yMode val="edge"/>
          <c:x val="0.18475039800352822"/>
          <c:y val="0.520744154526333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38296558045839E-2"/>
          <c:y val="3.2376028706750964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XXXIII!$L$2</c:f>
              <c:strCache>
                <c:ptCount val="1"/>
                <c:pt idx="0">
                  <c:v>Polska</c:v>
                </c:pt>
              </c:strCache>
            </c:strRef>
          </c:tx>
          <c:spPr>
            <a:ln w="57150" cmpd="dbl">
              <a:solidFill>
                <a:schemeClr val="tx1"/>
              </a:solidFill>
            </a:ln>
          </c:spPr>
          <c:marker>
            <c:symbol val="none"/>
          </c:marker>
          <c:val>
            <c:numRef>
              <c:f>XXXIII!$L$3:$L$36</c:f>
              <c:numCache>
                <c:formatCode>General</c:formatCode>
                <c:ptCount val="34"/>
                <c:pt idx="0">
                  <c:v>0.3</c:v>
                </c:pt>
                <c:pt idx="1">
                  <c:v>6.6</c:v>
                </c:pt>
                <c:pt idx="2">
                  <c:v>12.1</c:v>
                </c:pt>
                <c:pt idx="3">
                  <c:v>14.2</c:v>
                </c:pt>
                <c:pt idx="4">
                  <c:v>16.7</c:v>
                </c:pt>
                <c:pt idx="5">
                  <c:v>16.100000000000001</c:v>
                </c:pt>
                <c:pt idx="6">
                  <c:v>15.4</c:v>
                </c:pt>
                <c:pt idx="7">
                  <c:v>13.1</c:v>
                </c:pt>
                <c:pt idx="8">
                  <c:v>10.7</c:v>
                </c:pt>
                <c:pt idx="9">
                  <c:v>11.4</c:v>
                </c:pt>
                <c:pt idx="10">
                  <c:v>13.7</c:v>
                </c:pt>
                <c:pt idx="11">
                  <c:v>15.7</c:v>
                </c:pt>
                <c:pt idx="12">
                  <c:v>18.100000000000001</c:v>
                </c:pt>
                <c:pt idx="13">
                  <c:v>20.6</c:v>
                </c:pt>
                <c:pt idx="14">
                  <c:v>20.6</c:v>
                </c:pt>
                <c:pt idx="15">
                  <c:v>19.399999999999999</c:v>
                </c:pt>
                <c:pt idx="16" formatCode="0.0">
                  <c:v>18</c:v>
                </c:pt>
                <c:pt idx="17">
                  <c:v>15.1</c:v>
                </c:pt>
                <c:pt idx="18">
                  <c:v>11.5</c:v>
                </c:pt>
                <c:pt idx="19">
                  <c:v>10.4</c:v>
                </c:pt>
                <c:pt idx="20">
                  <c:v>12.9</c:v>
                </c:pt>
                <c:pt idx="21">
                  <c:v>13.1</c:v>
                </c:pt>
                <c:pt idx="22">
                  <c:v>13.2</c:v>
                </c:pt>
                <c:pt idx="23">
                  <c:v>14.2</c:v>
                </c:pt>
                <c:pt idx="24">
                  <c:v>13.9</c:v>
                </c:pt>
                <c:pt idx="25" formatCode="0.0">
                  <c:v>12</c:v>
                </c:pt>
                <c:pt idx="26" formatCode="0.0">
                  <c:v>8.3000000000000007</c:v>
                </c:pt>
                <c:pt idx="27">
                  <c:v>8.5</c:v>
                </c:pt>
                <c:pt idx="28">
                  <c:v>6.8</c:v>
                </c:pt>
                <c:pt idx="29">
                  <c:v>6.1</c:v>
                </c:pt>
                <c:pt idx="30">
                  <c:v>5.5</c:v>
                </c:pt>
                <c:pt idx="31">
                  <c:v>6.5</c:v>
                </c:pt>
                <c:pt idx="32">
                  <c:v>5.9</c:v>
                </c:pt>
                <c:pt idx="33">
                  <c:v>5.5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XXXIII!$K$3:$K$36</c15:sqref>
                        </c15:formulaRef>
                      </c:ext>
                    </c:extLst>
                    <c:numCache>
                      <c:formatCode>m/d/yyyy</c:formatCode>
                      <c:ptCount val="34"/>
                      <c:pt idx="0">
                        <c:v>32904</c:v>
                      </c:pt>
                      <c:pt idx="1">
                        <c:v>33269</c:v>
                      </c:pt>
                      <c:pt idx="2">
                        <c:v>33634</c:v>
                      </c:pt>
                      <c:pt idx="3">
                        <c:v>34000</c:v>
                      </c:pt>
                      <c:pt idx="4">
                        <c:v>34365</c:v>
                      </c:pt>
                      <c:pt idx="5">
                        <c:v>34730</c:v>
                      </c:pt>
                      <c:pt idx="6">
                        <c:v>35095</c:v>
                      </c:pt>
                      <c:pt idx="7">
                        <c:v>35461</c:v>
                      </c:pt>
                      <c:pt idx="8">
                        <c:v>35826</c:v>
                      </c:pt>
                      <c:pt idx="9">
                        <c:v>36191</c:v>
                      </c:pt>
                      <c:pt idx="10">
                        <c:v>36556</c:v>
                      </c:pt>
                      <c:pt idx="11">
                        <c:v>36922</c:v>
                      </c:pt>
                      <c:pt idx="12">
                        <c:v>37287</c:v>
                      </c:pt>
                      <c:pt idx="13">
                        <c:v>37652</c:v>
                      </c:pt>
                      <c:pt idx="14">
                        <c:v>38017</c:v>
                      </c:pt>
                      <c:pt idx="15">
                        <c:v>38383</c:v>
                      </c:pt>
                      <c:pt idx="16">
                        <c:v>38748</c:v>
                      </c:pt>
                      <c:pt idx="17">
                        <c:v>39113</c:v>
                      </c:pt>
                      <c:pt idx="18">
                        <c:v>39478</c:v>
                      </c:pt>
                      <c:pt idx="19">
                        <c:v>39844</c:v>
                      </c:pt>
                      <c:pt idx="20">
                        <c:v>40209</c:v>
                      </c:pt>
                      <c:pt idx="21">
                        <c:v>40574</c:v>
                      </c:pt>
                      <c:pt idx="22">
                        <c:v>40939</c:v>
                      </c:pt>
                      <c:pt idx="23">
                        <c:v>41305</c:v>
                      </c:pt>
                      <c:pt idx="24">
                        <c:v>41670</c:v>
                      </c:pt>
                      <c:pt idx="25">
                        <c:v>42035</c:v>
                      </c:pt>
                      <c:pt idx="26">
                        <c:v>42400</c:v>
                      </c:pt>
                      <c:pt idx="27">
                        <c:v>42766</c:v>
                      </c:pt>
                      <c:pt idx="28">
                        <c:v>43131</c:v>
                      </c:pt>
                      <c:pt idx="29">
                        <c:v>43496</c:v>
                      </c:pt>
                      <c:pt idx="30">
                        <c:v>43861</c:v>
                      </c:pt>
                      <c:pt idx="31">
                        <c:v>44227</c:v>
                      </c:pt>
                      <c:pt idx="32">
                        <c:v>44592</c:v>
                      </c:pt>
                      <c:pt idx="33">
                        <c:v>44957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AEC-472D-8B26-72895FB0E501}"/>
            </c:ext>
          </c:extLst>
        </c:ser>
        <c:ser>
          <c:idx val="1"/>
          <c:order val="1"/>
          <c:tx>
            <c:strRef>
              <c:f>XXXIII!$M$2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41275">
              <a:solidFill>
                <a:srgbClr val="0000FF"/>
              </a:solidFill>
              <a:prstDash val="sysDot"/>
            </a:ln>
          </c:spPr>
          <c:marker>
            <c:symbol val="none"/>
          </c:marker>
          <c:val>
            <c:numRef>
              <c:f>XXXIII!$M$3:$M$36</c:f>
              <c:numCache>
                <c:formatCode>General</c:formatCode>
                <c:ptCount val="34"/>
                <c:pt idx="9">
                  <c:v>13.2</c:v>
                </c:pt>
                <c:pt idx="10">
                  <c:v>15.1</c:v>
                </c:pt>
                <c:pt idx="11">
                  <c:v>16.399999999999999</c:v>
                </c:pt>
                <c:pt idx="12">
                  <c:v>17.8</c:v>
                </c:pt>
                <c:pt idx="13">
                  <c:v>17.3</c:v>
                </c:pt>
                <c:pt idx="14">
                  <c:v>19.100000000000001</c:v>
                </c:pt>
                <c:pt idx="15">
                  <c:v>18.5</c:v>
                </c:pt>
                <c:pt idx="16">
                  <c:v>16.399999999999999</c:v>
                </c:pt>
                <c:pt idx="17">
                  <c:v>14.2</c:v>
                </c:pt>
                <c:pt idx="18">
                  <c:v>14.8</c:v>
                </c:pt>
                <c:pt idx="19">
                  <c:v>14</c:v>
                </c:pt>
                <c:pt idx="20">
                  <c:v>16.7</c:v>
                </c:pt>
                <c:pt idx="21">
                  <c:v>16</c:v>
                </c:pt>
                <c:pt idx="22">
                  <c:v>16.2</c:v>
                </c:pt>
                <c:pt idx="23">
                  <c:v>16.3</c:v>
                </c:pt>
                <c:pt idx="24">
                  <c:v>14.8</c:v>
                </c:pt>
                <c:pt idx="25">
                  <c:v>15.2</c:v>
                </c:pt>
                <c:pt idx="26">
                  <c:v>11.6</c:v>
                </c:pt>
                <c:pt idx="27">
                  <c:v>11.8</c:v>
                </c:pt>
                <c:pt idx="28">
                  <c:v>9.9</c:v>
                </c:pt>
                <c:pt idx="29" formatCode="0.0">
                  <c:v>9</c:v>
                </c:pt>
                <c:pt idx="30">
                  <c:v>8.3000000000000007</c:v>
                </c:pt>
                <c:pt idx="31">
                  <c:v>9.5</c:v>
                </c:pt>
                <c:pt idx="32">
                  <c:v>10.1</c:v>
                </c:pt>
                <c:pt idx="33">
                  <c:v>9.1999999999999993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XXXIII!$K$3:$K$36</c15:sqref>
                        </c15:formulaRef>
                      </c:ext>
                    </c:extLst>
                    <c:numCache>
                      <c:formatCode>m/d/yyyy</c:formatCode>
                      <c:ptCount val="34"/>
                      <c:pt idx="0">
                        <c:v>32904</c:v>
                      </c:pt>
                      <c:pt idx="1">
                        <c:v>33269</c:v>
                      </c:pt>
                      <c:pt idx="2">
                        <c:v>33634</c:v>
                      </c:pt>
                      <c:pt idx="3">
                        <c:v>34000</c:v>
                      </c:pt>
                      <c:pt idx="4">
                        <c:v>34365</c:v>
                      </c:pt>
                      <c:pt idx="5">
                        <c:v>34730</c:v>
                      </c:pt>
                      <c:pt idx="6">
                        <c:v>35095</c:v>
                      </c:pt>
                      <c:pt idx="7">
                        <c:v>35461</c:v>
                      </c:pt>
                      <c:pt idx="8">
                        <c:v>35826</c:v>
                      </c:pt>
                      <c:pt idx="9">
                        <c:v>36191</c:v>
                      </c:pt>
                      <c:pt idx="10">
                        <c:v>36556</c:v>
                      </c:pt>
                      <c:pt idx="11">
                        <c:v>36922</c:v>
                      </c:pt>
                      <c:pt idx="12">
                        <c:v>37287</c:v>
                      </c:pt>
                      <c:pt idx="13">
                        <c:v>37652</c:v>
                      </c:pt>
                      <c:pt idx="14">
                        <c:v>38017</c:v>
                      </c:pt>
                      <c:pt idx="15">
                        <c:v>38383</c:v>
                      </c:pt>
                      <c:pt idx="16">
                        <c:v>38748</c:v>
                      </c:pt>
                      <c:pt idx="17">
                        <c:v>39113</c:v>
                      </c:pt>
                      <c:pt idx="18">
                        <c:v>39478</c:v>
                      </c:pt>
                      <c:pt idx="19">
                        <c:v>39844</c:v>
                      </c:pt>
                      <c:pt idx="20">
                        <c:v>40209</c:v>
                      </c:pt>
                      <c:pt idx="21">
                        <c:v>40574</c:v>
                      </c:pt>
                      <c:pt idx="22">
                        <c:v>40939</c:v>
                      </c:pt>
                      <c:pt idx="23">
                        <c:v>41305</c:v>
                      </c:pt>
                      <c:pt idx="24">
                        <c:v>41670</c:v>
                      </c:pt>
                      <c:pt idx="25">
                        <c:v>42035</c:v>
                      </c:pt>
                      <c:pt idx="26">
                        <c:v>42400</c:v>
                      </c:pt>
                      <c:pt idx="27">
                        <c:v>42766</c:v>
                      </c:pt>
                      <c:pt idx="28">
                        <c:v>43131</c:v>
                      </c:pt>
                      <c:pt idx="29">
                        <c:v>43496</c:v>
                      </c:pt>
                      <c:pt idx="30">
                        <c:v>43861</c:v>
                      </c:pt>
                      <c:pt idx="31">
                        <c:v>44227</c:v>
                      </c:pt>
                      <c:pt idx="32">
                        <c:v>44592</c:v>
                      </c:pt>
                      <c:pt idx="33">
                        <c:v>44957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AEC-472D-8B26-72895FB0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15875">
              <a:solidFill>
                <a:schemeClr val="accent2">
                  <a:lumMod val="75000"/>
                  <a:alpha val="27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6350">
            <a:solidFill>
              <a:schemeClr val="accent2">
                <a:lumMod val="5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1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2">
                <a:lumMod val="50000"/>
              </a:schemeClr>
            </a:solidFill>
          </a:ln>
        </c:spPr>
        <c:txPr>
          <a:bodyPr/>
          <a:lstStyle/>
          <a:p>
            <a:pPr>
              <a:defRPr sz="105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078963900004302"/>
          <c:y val="0.58571078400449872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302038841388206"/>
          <c:y val="0.54938271604938271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XXXIII!$C$2</c:f>
              <c:strCache>
                <c:ptCount val="1"/>
                <c:pt idx="0">
                  <c:v>POLSKA</c:v>
                </c:pt>
              </c:strCache>
            </c:strRef>
          </c:tx>
          <c:spPr>
            <a:ln w="63500" cmpd="dbl">
              <a:solidFill>
                <a:schemeClr val="tx1"/>
              </a:solidFill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XXXIII!$C$3:$C$36</c:f>
              <c:numCache>
                <c:formatCode>General</c:formatCode>
                <c:ptCount val="34"/>
                <c:pt idx="0">
                  <c:v>6.5</c:v>
                </c:pt>
                <c:pt idx="1">
                  <c:v>12.2</c:v>
                </c:pt>
                <c:pt idx="2">
                  <c:v>14.3</c:v>
                </c:pt>
                <c:pt idx="3">
                  <c:v>16.399999999999999</c:v>
                </c:pt>
                <c:pt idx="4" formatCode="0.0">
                  <c:v>16</c:v>
                </c:pt>
                <c:pt idx="5">
                  <c:v>14.9</c:v>
                </c:pt>
                <c:pt idx="6">
                  <c:v>13.2</c:v>
                </c:pt>
                <c:pt idx="7">
                  <c:v>10.3</c:v>
                </c:pt>
                <c:pt idx="8">
                  <c:v>10.4</c:v>
                </c:pt>
                <c:pt idx="9">
                  <c:v>13.1</c:v>
                </c:pt>
                <c:pt idx="10">
                  <c:v>15.1</c:v>
                </c:pt>
                <c:pt idx="11">
                  <c:v>17.5</c:v>
                </c:pt>
                <c:pt idx="12" formatCode="0.0">
                  <c:v>18</c:v>
                </c:pt>
                <c:pt idx="13" formatCode="0.0">
                  <c:v>20</c:v>
                </c:pt>
                <c:pt idx="14" formatCode="0.0">
                  <c:v>19</c:v>
                </c:pt>
                <c:pt idx="15">
                  <c:v>17.600000000000001</c:v>
                </c:pt>
                <c:pt idx="16">
                  <c:v>14.8</c:v>
                </c:pt>
                <c:pt idx="17">
                  <c:v>11.2</c:v>
                </c:pt>
                <c:pt idx="18">
                  <c:v>9.5</c:v>
                </c:pt>
                <c:pt idx="19">
                  <c:v>12.1</c:v>
                </c:pt>
                <c:pt idx="20">
                  <c:v>12.4</c:v>
                </c:pt>
                <c:pt idx="21">
                  <c:v>12.5</c:v>
                </c:pt>
                <c:pt idx="22">
                  <c:v>13.4</c:v>
                </c:pt>
                <c:pt idx="23">
                  <c:v>13.4</c:v>
                </c:pt>
                <c:pt idx="24">
                  <c:v>11.4</c:v>
                </c:pt>
                <c:pt idx="25">
                  <c:v>9.6999999999999993</c:v>
                </c:pt>
                <c:pt idx="26">
                  <c:v>8.1999999999999993</c:v>
                </c:pt>
                <c:pt idx="27">
                  <c:v>6.6</c:v>
                </c:pt>
                <c:pt idx="28">
                  <c:v>5.8</c:v>
                </c:pt>
                <c:pt idx="29">
                  <c:v>5.2</c:v>
                </c:pt>
                <c:pt idx="30">
                  <c:v>6.3</c:v>
                </c:pt>
                <c:pt idx="31">
                  <c:v>5.8</c:v>
                </c:pt>
                <c:pt idx="32">
                  <c:v>5.2</c:v>
                </c:pt>
                <c:pt idx="33" formatCode="0.0">
                  <c:v>5.0999999999999996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36-43B3-B3D0-E9E7768EC3E6}"/>
            </c:ext>
          </c:extLst>
        </c:ser>
        <c:ser>
          <c:idx val="1"/>
          <c:order val="1"/>
          <c:tx>
            <c:strRef>
              <c:f>XXXIII!$D$2</c:f>
              <c:strCache>
                <c:ptCount val="1"/>
                <c:pt idx="0">
                  <c:v>PODKARPACKIE</c:v>
                </c:pt>
              </c:strCache>
            </c:strRef>
          </c:tx>
          <c:spPr>
            <a:ln w="3492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Lit>
              <c:formatCode>General</c:formatCode>
              <c:ptCount val="34"/>
              <c:pt idx="0">
                <c:v>33238</c:v>
              </c:pt>
              <c:pt idx="1">
                <c:v>33603</c:v>
              </c:pt>
              <c:pt idx="2">
                <c:v>33969</c:v>
              </c:pt>
              <c:pt idx="3">
                <c:v>34334</c:v>
              </c:pt>
              <c:pt idx="4">
                <c:v>34699</c:v>
              </c:pt>
              <c:pt idx="5">
                <c:v>35064</c:v>
              </c:pt>
              <c:pt idx="6">
                <c:v>35430</c:v>
              </c:pt>
              <c:pt idx="7">
                <c:v>35795</c:v>
              </c:pt>
              <c:pt idx="8">
                <c:v>36160</c:v>
              </c:pt>
              <c:pt idx="9">
                <c:v>36525</c:v>
              </c:pt>
              <c:pt idx="10">
                <c:v>36891</c:v>
              </c:pt>
              <c:pt idx="11">
                <c:v>37256</c:v>
              </c:pt>
              <c:pt idx="12">
                <c:v>37621</c:v>
              </c:pt>
              <c:pt idx="13">
                <c:v>37986</c:v>
              </c:pt>
              <c:pt idx="14">
                <c:v>38352</c:v>
              </c:pt>
              <c:pt idx="15">
                <c:v>38717</c:v>
              </c:pt>
              <c:pt idx="16">
                <c:v>39082</c:v>
              </c:pt>
              <c:pt idx="17">
                <c:v>39447</c:v>
              </c:pt>
              <c:pt idx="18">
                <c:v>39813</c:v>
              </c:pt>
              <c:pt idx="19">
                <c:v>40178</c:v>
              </c:pt>
              <c:pt idx="20">
                <c:v>40543</c:v>
              </c:pt>
              <c:pt idx="21">
                <c:v>40908</c:v>
              </c:pt>
              <c:pt idx="22">
                <c:v>41274</c:v>
              </c:pt>
              <c:pt idx="23">
                <c:v>41639</c:v>
              </c:pt>
              <c:pt idx="24">
                <c:v>42004</c:v>
              </c:pt>
              <c:pt idx="25">
                <c:v>42369</c:v>
              </c:pt>
              <c:pt idx="26">
                <c:v>42735</c:v>
              </c:pt>
              <c:pt idx="27">
                <c:v>43100</c:v>
              </c:pt>
              <c:pt idx="28">
                <c:v>43465</c:v>
              </c:pt>
              <c:pt idx="29">
                <c:v>43830</c:v>
              </c:pt>
              <c:pt idx="30">
                <c:v>44196</c:v>
              </c:pt>
              <c:pt idx="31">
                <c:v>44561</c:v>
              </c:pt>
              <c:pt idx="32">
                <c:v>44926</c:v>
              </c:pt>
              <c:pt idx="33">
                <c:v>45230</c:v>
              </c:pt>
            </c:numLit>
          </c:cat>
          <c:val>
            <c:numRef>
              <c:f>XXXIII!$D$3:$D$36</c:f>
              <c:numCache>
                <c:formatCode>General</c:formatCode>
                <c:ptCount val="34"/>
                <c:pt idx="8">
                  <c:v>12.4</c:v>
                </c:pt>
                <c:pt idx="9">
                  <c:v>14.5</c:v>
                </c:pt>
                <c:pt idx="10">
                  <c:v>15.9</c:v>
                </c:pt>
                <c:pt idx="11">
                  <c:v>17.3</c:v>
                </c:pt>
                <c:pt idx="12">
                  <c:v>16.899999999999999</c:v>
                </c:pt>
                <c:pt idx="13">
                  <c:v>16.7</c:v>
                </c:pt>
                <c:pt idx="14">
                  <c:v>19.100000000000001</c:v>
                </c:pt>
                <c:pt idx="15">
                  <c:v>18.399999999999999</c:v>
                </c:pt>
                <c:pt idx="16">
                  <c:v>16.399999999999999</c:v>
                </c:pt>
                <c:pt idx="17">
                  <c:v>14.2</c:v>
                </c:pt>
                <c:pt idx="18" formatCode="0.0">
                  <c:v>13</c:v>
                </c:pt>
                <c:pt idx="19">
                  <c:v>15.9</c:v>
                </c:pt>
                <c:pt idx="20">
                  <c:v>15.4</c:v>
                </c:pt>
                <c:pt idx="21">
                  <c:v>15.5</c:v>
                </c:pt>
                <c:pt idx="22">
                  <c:v>16.399999999999999</c:v>
                </c:pt>
                <c:pt idx="23">
                  <c:v>16.3</c:v>
                </c:pt>
                <c:pt idx="24">
                  <c:v>14.6</c:v>
                </c:pt>
                <c:pt idx="25">
                  <c:v>13.2</c:v>
                </c:pt>
                <c:pt idx="26">
                  <c:v>11.5</c:v>
                </c:pt>
                <c:pt idx="27">
                  <c:v>9.6</c:v>
                </c:pt>
                <c:pt idx="28">
                  <c:v>8.6999999999999993</c:v>
                </c:pt>
                <c:pt idx="29">
                  <c:v>7.9</c:v>
                </c:pt>
                <c:pt idx="30">
                  <c:v>9.1</c:v>
                </c:pt>
                <c:pt idx="31">
                  <c:v>9.9</c:v>
                </c:pt>
                <c:pt idx="32">
                  <c:v>8.8000000000000007</c:v>
                </c:pt>
                <c:pt idx="33">
                  <c:v>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C36-43B3-B3D0-E9E7768EC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cat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Algn val="ctr"/>
        <c:lblOffset val="100"/>
        <c:noMultiLvlLbl val="0"/>
      </c:cat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"/>
        <c:minorUnit val="0.5"/>
      </c:valAx>
      <c:spPr>
        <a:noFill/>
      </c:spPr>
    </c:plotArea>
    <c:legend>
      <c:legendPos val="t"/>
      <c:layout>
        <c:manualLayout>
          <c:xMode val="edge"/>
          <c:yMode val="edge"/>
          <c:x val="0.14337005256281135"/>
          <c:y val="0.61040196364343347"/>
          <c:w val="0.41439447850536937"/>
          <c:h val="8.859883928526123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/>
            </a:pPr>
            <a:r>
              <a:rPr lang="pl-PL" sz="900" b="0"/>
              <a:t>stopa bezrobocia, stan na 31 grudnia danego roku</a:t>
            </a:r>
          </a:p>
        </c:rich>
      </c:tx>
      <c:layout>
        <c:manualLayout>
          <c:xMode val="edge"/>
          <c:yMode val="edge"/>
          <c:x val="0.17523881894130952"/>
          <c:y val="0.5800762001524003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90028379866274644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XXXIII!$E$2</c:f>
              <c:strCache>
                <c:ptCount val="1"/>
                <c:pt idx="0">
                  <c:v>bezrobotni ogółem</c:v>
                </c:pt>
              </c:strCache>
            </c:strRef>
          </c:tx>
          <c:spPr>
            <a:ln w="60325" cmpd="dbl"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XXXIII!$E$3:$E$36</c:f>
              <c:numCache>
                <c:formatCode>#,##0</c:formatCode>
                <c:ptCount val="34"/>
                <c:pt idx="8">
                  <c:v>137367</c:v>
                </c:pt>
                <c:pt idx="9">
                  <c:v>164692</c:v>
                </c:pt>
                <c:pt idx="10">
                  <c:v>182168</c:v>
                </c:pt>
                <c:pt idx="11">
                  <c:v>195173</c:v>
                </c:pt>
                <c:pt idx="12">
                  <c:v>187519</c:v>
                </c:pt>
                <c:pt idx="13">
                  <c:v>182497</c:v>
                </c:pt>
                <c:pt idx="14">
                  <c:v>170293</c:v>
                </c:pt>
                <c:pt idx="15">
                  <c:v>163956</c:v>
                </c:pt>
                <c:pt idx="16">
                  <c:v>145246</c:v>
                </c:pt>
                <c:pt idx="17">
                  <c:v>126360</c:v>
                </c:pt>
                <c:pt idx="18">
                  <c:v>115567</c:v>
                </c:pt>
                <c:pt idx="19">
                  <c:v>141944</c:v>
                </c:pt>
                <c:pt idx="20">
                  <c:v>142263</c:v>
                </c:pt>
                <c:pt idx="21">
                  <c:v>146208</c:v>
                </c:pt>
                <c:pt idx="22">
                  <c:v>153807</c:v>
                </c:pt>
                <c:pt idx="23">
                  <c:v>154216</c:v>
                </c:pt>
                <c:pt idx="24">
                  <c:v>137932</c:v>
                </c:pt>
                <c:pt idx="25">
                  <c:v>123514</c:v>
                </c:pt>
                <c:pt idx="26">
                  <c:v>107567</c:v>
                </c:pt>
                <c:pt idx="27">
                  <c:v>90972</c:v>
                </c:pt>
                <c:pt idx="28">
                  <c:v>82933</c:v>
                </c:pt>
                <c:pt idx="29">
                  <c:v>75455</c:v>
                </c:pt>
                <c:pt idx="30">
                  <c:v>87326</c:v>
                </c:pt>
                <c:pt idx="31">
                  <c:v>77291</c:v>
                </c:pt>
                <c:pt idx="32">
                  <c:v>69046</c:v>
                </c:pt>
                <c:pt idx="33">
                  <c:v>67653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0D-4AB1-97A2-214864E725BA}"/>
            </c:ext>
          </c:extLst>
        </c:ser>
        <c:ser>
          <c:idx val="1"/>
          <c:order val="1"/>
          <c:tx>
            <c:strRef>
              <c:f>XXXIII!$F$2</c:f>
              <c:strCache>
                <c:ptCount val="1"/>
                <c:pt idx="0">
                  <c:v>w tym kobiety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XXXIII!$F$3:$F$36</c:f>
              <c:numCache>
                <c:formatCode>#,##0</c:formatCode>
                <c:ptCount val="34"/>
                <c:pt idx="8">
                  <c:v>77793</c:v>
                </c:pt>
                <c:pt idx="9">
                  <c:v>87827</c:v>
                </c:pt>
                <c:pt idx="10">
                  <c:v>97270</c:v>
                </c:pt>
                <c:pt idx="11">
                  <c:v>100472</c:v>
                </c:pt>
                <c:pt idx="12">
                  <c:v>93772</c:v>
                </c:pt>
                <c:pt idx="13">
                  <c:v>92598</c:v>
                </c:pt>
                <c:pt idx="14">
                  <c:v>88723</c:v>
                </c:pt>
                <c:pt idx="15">
                  <c:v>87626</c:v>
                </c:pt>
                <c:pt idx="16">
                  <c:v>81490</c:v>
                </c:pt>
                <c:pt idx="17">
                  <c:v>73127</c:v>
                </c:pt>
                <c:pt idx="18">
                  <c:v>64122</c:v>
                </c:pt>
                <c:pt idx="19">
                  <c:v>71158</c:v>
                </c:pt>
                <c:pt idx="20">
                  <c:v>73359</c:v>
                </c:pt>
                <c:pt idx="21">
                  <c:v>77403</c:v>
                </c:pt>
                <c:pt idx="22">
                  <c:v>77880</c:v>
                </c:pt>
                <c:pt idx="23">
                  <c:v>77415</c:v>
                </c:pt>
                <c:pt idx="24">
                  <c:v>70305</c:v>
                </c:pt>
                <c:pt idx="25">
                  <c:v>63579</c:v>
                </c:pt>
                <c:pt idx="26">
                  <c:v>56384</c:v>
                </c:pt>
                <c:pt idx="27">
                  <c:v>48619</c:v>
                </c:pt>
                <c:pt idx="28">
                  <c:v>45024</c:v>
                </c:pt>
                <c:pt idx="29">
                  <c:v>40284</c:v>
                </c:pt>
                <c:pt idx="30">
                  <c:v>46036</c:v>
                </c:pt>
                <c:pt idx="31">
                  <c:v>41090</c:v>
                </c:pt>
                <c:pt idx="32">
                  <c:v>36088</c:v>
                </c:pt>
                <c:pt idx="33">
                  <c:v>41090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0D-4AB1-97A2-214864E725BA}"/>
            </c:ext>
          </c:extLst>
        </c:ser>
        <c:ser>
          <c:idx val="2"/>
          <c:order val="2"/>
          <c:tx>
            <c:strRef>
              <c:f>XXXIII!$G$2</c:f>
              <c:strCache>
                <c:ptCount val="1"/>
                <c:pt idx="0">
                  <c:v>w tym mężczyźni</c:v>
                </c:pt>
              </c:strCache>
            </c:strRef>
          </c:tx>
          <c:spPr>
            <a:ln w="28575">
              <a:solidFill>
                <a:srgbClr val="0000FF"/>
              </a:solidFill>
              <a:prstDash val="sysDot"/>
            </a:ln>
          </c:spPr>
          <c:marker>
            <c:symbol val="none"/>
          </c:marker>
          <c:cat>
            <c:numRef>
              <c:f>XXXIII!$B$3:$B$36</c:f>
              <c:numCache>
                <c:formatCode>m/d/yyyy</c:formatCode>
                <c:ptCount val="34"/>
                <c:pt idx="0">
                  <c:v>33238</c:v>
                </c:pt>
                <c:pt idx="1">
                  <c:v>33603</c:v>
                </c:pt>
                <c:pt idx="2">
                  <c:v>33969</c:v>
                </c:pt>
                <c:pt idx="3">
                  <c:v>34334</c:v>
                </c:pt>
                <c:pt idx="4">
                  <c:v>34699</c:v>
                </c:pt>
                <c:pt idx="5">
                  <c:v>35064</c:v>
                </c:pt>
                <c:pt idx="6">
                  <c:v>35430</c:v>
                </c:pt>
                <c:pt idx="7">
                  <c:v>35795</c:v>
                </c:pt>
                <c:pt idx="8">
                  <c:v>36160</c:v>
                </c:pt>
                <c:pt idx="9">
                  <c:v>36525</c:v>
                </c:pt>
                <c:pt idx="10">
                  <c:v>36891</c:v>
                </c:pt>
                <c:pt idx="11">
                  <c:v>37256</c:v>
                </c:pt>
                <c:pt idx="12">
                  <c:v>37621</c:v>
                </c:pt>
                <c:pt idx="13">
                  <c:v>37986</c:v>
                </c:pt>
                <c:pt idx="14">
                  <c:v>38352</c:v>
                </c:pt>
                <c:pt idx="15">
                  <c:v>38717</c:v>
                </c:pt>
                <c:pt idx="16">
                  <c:v>39082</c:v>
                </c:pt>
                <c:pt idx="17">
                  <c:v>39447</c:v>
                </c:pt>
                <c:pt idx="18">
                  <c:v>39813</c:v>
                </c:pt>
                <c:pt idx="19">
                  <c:v>40178</c:v>
                </c:pt>
                <c:pt idx="20">
                  <c:v>40543</c:v>
                </c:pt>
                <c:pt idx="21">
                  <c:v>40908</c:v>
                </c:pt>
                <c:pt idx="22">
                  <c:v>41274</c:v>
                </c:pt>
                <c:pt idx="23">
                  <c:v>41639</c:v>
                </c:pt>
                <c:pt idx="24">
                  <c:v>42004</c:v>
                </c:pt>
                <c:pt idx="25">
                  <c:v>42369</c:v>
                </c:pt>
                <c:pt idx="26">
                  <c:v>42735</c:v>
                </c:pt>
                <c:pt idx="27">
                  <c:v>43100</c:v>
                </c:pt>
                <c:pt idx="28">
                  <c:v>43465</c:v>
                </c:pt>
                <c:pt idx="29">
                  <c:v>43830</c:v>
                </c:pt>
                <c:pt idx="30">
                  <c:v>44196</c:v>
                </c:pt>
                <c:pt idx="31">
                  <c:v>44561</c:v>
                </c:pt>
                <c:pt idx="32">
                  <c:v>44926</c:v>
                </c:pt>
                <c:pt idx="33">
                  <c:v>45291</c:v>
                </c:pt>
              </c:numCache>
            </c:numRef>
          </c:cat>
          <c:val>
            <c:numRef>
              <c:f>XXXIII!$G$3:$G$36</c:f>
              <c:numCache>
                <c:formatCode>#,##0</c:formatCode>
                <c:ptCount val="34"/>
                <c:pt idx="8">
                  <c:v>59574</c:v>
                </c:pt>
                <c:pt idx="9">
                  <c:v>76865</c:v>
                </c:pt>
                <c:pt idx="10">
                  <c:v>84898</c:v>
                </c:pt>
                <c:pt idx="11">
                  <c:v>94701</c:v>
                </c:pt>
                <c:pt idx="12">
                  <c:v>93747</c:v>
                </c:pt>
                <c:pt idx="13">
                  <c:v>89899</c:v>
                </c:pt>
                <c:pt idx="14">
                  <c:v>81570</c:v>
                </c:pt>
                <c:pt idx="15">
                  <c:v>76330</c:v>
                </c:pt>
                <c:pt idx="16">
                  <c:v>63756</c:v>
                </c:pt>
                <c:pt idx="17">
                  <c:v>53233</c:v>
                </c:pt>
                <c:pt idx="18">
                  <c:v>51445</c:v>
                </c:pt>
                <c:pt idx="19">
                  <c:v>70786</c:v>
                </c:pt>
                <c:pt idx="20">
                  <c:v>68904</c:v>
                </c:pt>
                <c:pt idx="21">
                  <c:v>68805</c:v>
                </c:pt>
                <c:pt idx="22">
                  <c:v>75927</c:v>
                </c:pt>
                <c:pt idx="23">
                  <c:v>76801</c:v>
                </c:pt>
                <c:pt idx="24">
                  <c:v>67627</c:v>
                </c:pt>
                <c:pt idx="25">
                  <c:v>59935</c:v>
                </c:pt>
                <c:pt idx="26">
                  <c:v>51183</c:v>
                </c:pt>
                <c:pt idx="27">
                  <c:v>42353</c:v>
                </c:pt>
                <c:pt idx="28">
                  <c:v>37909</c:v>
                </c:pt>
                <c:pt idx="29">
                  <c:v>35171</c:v>
                </c:pt>
                <c:pt idx="30">
                  <c:v>41290</c:v>
                </c:pt>
                <c:pt idx="31">
                  <c:v>36201</c:v>
                </c:pt>
                <c:pt idx="32">
                  <c:v>32958</c:v>
                </c:pt>
                <c:pt idx="33">
                  <c:v>26563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0D-4AB1-97A2-214864E7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368320"/>
        <c:axId val="227398784"/>
      </c:lineChart>
      <c:dateAx>
        <c:axId val="22736832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m/d/yyyy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600" b="0">
                <a:solidFill>
                  <a:schemeClr val="tx1"/>
                </a:solidFill>
              </a:defRPr>
            </a:pPr>
            <a:endParaRPr lang="pl-PL"/>
          </a:p>
        </c:txPr>
        <c:crossAx val="227398784"/>
        <c:crosses val="autoZero"/>
        <c:auto val="1"/>
        <c:lblOffset val="100"/>
        <c:baseTimeUnit val="months"/>
      </c:dateAx>
      <c:valAx>
        <c:axId val="227398784"/>
        <c:scaling>
          <c:orientation val="minMax"/>
        </c:scaling>
        <c:delete val="0"/>
        <c:axPos val="l"/>
        <c:majorGridlines>
          <c:spPr>
            <a:ln w="3175">
              <a:solidFill>
                <a:srgbClr val="D2D9FE">
                  <a:alpha val="0"/>
                </a:srgbClr>
              </a:solidFill>
            </a:ln>
          </c:spPr>
        </c:majorGridlines>
        <c:minorGridlines>
          <c:spPr>
            <a:ln w="3175">
              <a:solidFill>
                <a:srgbClr val="5353FF">
                  <a:alpha val="55000"/>
                </a:srgbClr>
              </a:solidFill>
              <a:prstDash val="sysDot"/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</a:defRPr>
            </a:pPr>
            <a:endParaRPr lang="pl-PL"/>
          </a:p>
        </c:txPr>
        <c:crossAx val="227368320"/>
        <c:crosses val="autoZero"/>
        <c:crossBetween val="midCat"/>
        <c:majorUnit val="20000"/>
        <c:minorUnit val="4000"/>
      </c:valAx>
      <c:spPr>
        <a:noFill/>
      </c:spPr>
    </c:plotArea>
    <c:legend>
      <c:legendPos val="t"/>
      <c:layout>
        <c:manualLayout>
          <c:xMode val="edge"/>
          <c:yMode val="edge"/>
          <c:x val="0.14336997392796783"/>
          <c:y val="0.64112389177159324"/>
          <c:w val="0.71680742070302772"/>
          <c:h val="9.1217146243816299E-2"/>
        </c:manualLayout>
      </c:layout>
      <c:overlay val="0"/>
      <c:txPr>
        <a:bodyPr/>
        <a:lstStyle/>
        <a:p>
          <a:pPr>
            <a:defRPr sz="800">
              <a:solidFill>
                <a:schemeClr val="tx1"/>
              </a:solidFill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187851</xdr:colOff>
      <xdr:row>2</xdr:row>
      <xdr:rowOff>48683</xdr:rowOff>
    </xdr:from>
    <xdr:to>
      <xdr:col>18</xdr:col>
      <xdr:colOff>500061</xdr:colOff>
      <xdr:row>19</xdr:row>
      <xdr:rowOff>35718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18</xdr:col>
      <xdr:colOff>190501</xdr:colOff>
      <xdr:row>23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190501</xdr:colOff>
      <xdr:row>0</xdr:row>
      <xdr:rowOff>150020</xdr:rowOff>
    </xdr:from>
    <xdr:to>
      <xdr:col>24</xdr:col>
      <xdr:colOff>23812</xdr:colOff>
      <xdr:row>13</xdr:row>
      <xdr:rowOff>83344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B209EA3-F62B-4E29-9ECB-0183A87C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276222</xdr:colOff>
      <xdr:row>13</xdr:row>
      <xdr:rowOff>69058</xdr:rowOff>
    </xdr:from>
    <xdr:to>
      <xdr:col>24</xdr:col>
      <xdr:colOff>95248</xdr:colOff>
      <xdr:row>26</xdr:row>
      <xdr:rowOff>135732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F1808FA8-E14D-4F8D-BC44-2DED5EA98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95250</xdr:colOff>
      <xdr:row>26</xdr:row>
      <xdr:rowOff>71436</xdr:rowOff>
    </xdr:from>
    <xdr:to>
      <xdr:col>24</xdr:col>
      <xdr:colOff>35718</xdr:colOff>
      <xdr:row>39</xdr:row>
      <xdr:rowOff>140493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3225B3A4-6484-4804-80C1-408309CF6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  <pageSetUpPr fitToPage="1"/>
  </sheetPr>
  <dimension ref="A1:I22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3.42578125" style="2" customWidth="1"/>
    <col min="3" max="3" width="20.140625" style="2" customWidth="1"/>
    <col min="4" max="4" width="19.7109375" style="2" customWidth="1"/>
    <col min="5" max="5" width="15.28515625" style="2" customWidth="1"/>
    <col min="6" max="6" width="19" style="2" customWidth="1"/>
    <col min="7" max="7" width="14.7109375" style="2" customWidth="1"/>
    <col min="8" max="8" width="7.85546875" style="12" customWidth="1"/>
    <col min="9" max="9" width="31.85546875" style="2" hidden="1" customWidth="1"/>
    <col min="10" max="13" width="0" style="2" hidden="1" customWidth="1"/>
    <col min="14" max="16384" width="9.140625" style="2"/>
  </cols>
  <sheetData>
    <row r="1" spans="1:9" ht="15" customHeight="1" x14ac:dyDescent="0.2">
      <c r="B1" s="1" t="s">
        <v>46</v>
      </c>
    </row>
    <row r="2" spans="1:9" ht="71.25" x14ac:dyDescent="0.2">
      <c r="B2" s="36" t="s">
        <v>0</v>
      </c>
      <c r="C2" s="36" t="s">
        <v>64</v>
      </c>
      <c r="D2" s="37" t="s">
        <v>63</v>
      </c>
      <c r="E2" s="36" t="s">
        <v>44</v>
      </c>
      <c r="F2" s="37" t="s">
        <v>65</v>
      </c>
      <c r="G2" s="36" t="s">
        <v>48</v>
      </c>
    </row>
    <row r="3" spans="1:9" ht="15" x14ac:dyDescent="0.2">
      <c r="A3" s="12">
        <v>1</v>
      </c>
      <c r="B3" s="13" t="s">
        <v>1</v>
      </c>
      <c r="C3" s="137">
        <v>5.0999999999999996</v>
      </c>
      <c r="D3" s="39">
        <v>5.3</v>
      </c>
      <c r="E3" s="14">
        <f>C3-D3</f>
        <v>-0.20000000000000018</v>
      </c>
      <c r="F3" s="39">
        <v>5.3</v>
      </c>
      <c r="G3" s="14">
        <f>C3-F3</f>
        <v>-0.20000000000000018</v>
      </c>
      <c r="H3" s="15"/>
    </row>
    <row r="4" spans="1:9" ht="15" x14ac:dyDescent="0.25">
      <c r="A4" s="12">
        <v>2</v>
      </c>
      <c r="B4" s="16" t="s">
        <v>2</v>
      </c>
      <c r="C4" s="135">
        <v>4.5999999999999996</v>
      </c>
      <c r="D4" s="38">
        <v>4.7</v>
      </c>
      <c r="E4" s="17">
        <f t="shared" ref="E4:E19" si="0">C4-D4</f>
        <v>-0.10000000000000053</v>
      </c>
      <c r="F4" s="38">
        <v>4.5999999999999996</v>
      </c>
      <c r="G4" s="17">
        <f t="shared" ref="G4:G19" si="1">C4-F4</f>
        <v>0</v>
      </c>
      <c r="H4" s="15"/>
      <c r="I4" s="49" t="s">
        <v>2</v>
      </c>
    </row>
    <row r="5" spans="1:9" ht="15" x14ac:dyDescent="0.25">
      <c r="A5" s="12">
        <v>3</v>
      </c>
      <c r="B5" s="16" t="s">
        <v>3</v>
      </c>
      <c r="C5" s="17">
        <v>7.1</v>
      </c>
      <c r="D5" s="38">
        <v>7.3</v>
      </c>
      <c r="E5" s="18">
        <f t="shared" si="0"/>
        <v>-0.20000000000000018</v>
      </c>
      <c r="F5" s="38">
        <v>7.3</v>
      </c>
      <c r="G5" s="17">
        <f t="shared" si="1"/>
        <v>-0.20000000000000018</v>
      </c>
      <c r="H5" s="15"/>
      <c r="I5" s="50" t="s">
        <v>3</v>
      </c>
    </row>
    <row r="6" spans="1:9" ht="15" x14ac:dyDescent="0.25">
      <c r="A6" s="12">
        <v>4</v>
      </c>
      <c r="B6" s="16" t="s">
        <v>4</v>
      </c>
      <c r="C6" s="18">
        <v>7.5</v>
      </c>
      <c r="D6" s="38">
        <v>7.6</v>
      </c>
      <c r="E6" s="17">
        <f t="shared" si="0"/>
        <v>-9.9999999999999645E-2</v>
      </c>
      <c r="F6" s="38">
        <v>7.9</v>
      </c>
      <c r="G6" s="17">
        <f t="shared" si="1"/>
        <v>-0.40000000000000036</v>
      </c>
      <c r="H6" s="15"/>
      <c r="I6" s="50" t="s">
        <v>4</v>
      </c>
    </row>
    <row r="7" spans="1:9" ht="15" x14ac:dyDescent="0.25">
      <c r="A7" s="12">
        <v>5</v>
      </c>
      <c r="B7" s="16" t="s">
        <v>5</v>
      </c>
      <c r="C7" s="17">
        <v>4.5</v>
      </c>
      <c r="D7" s="38">
        <v>4.5999999999999996</v>
      </c>
      <c r="E7" s="17">
        <f t="shared" si="0"/>
        <v>-9.9999999999999645E-2</v>
      </c>
      <c r="F7" s="38">
        <v>4.5</v>
      </c>
      <c r="G7" s="17">
        <f t="shared" si="1"/>
        <v>0</v>
      </c>
      <c r="H7" s="15"/>
      <c r="I7" s="51" t="s">
        <v>5</v>
      </c>
    </row>
    <row r="8" spans="1:9" ht="15" x14ac:dyDescent="0.25">
      <c r="A8" s="12">
        <v>6</v>
      </c>
      <c r="B8" s="16" t="s">
        <v>6</v>
      </c>
      <c r="C8" s="17">
        <v>5.4</v>
      </c>
      <c r="D8" s="38">
        <v>5.6</v>
      </c>
      <c r="E8" s="17">
        <f t="shared" si="0"/>
        <v>-0.19999999999999929</v>
      </c>
      <c r="F8" s="38">
        <v>5.7</v>
      </c>
      <c r="G8" s="17">
        <f t="shared" si="1"/>
        <v>-0.29999999999999982</v>
      </c>
      <c r="H8" s="15"/>
      <c r="I8" s="49" t="s">
        <v>6</v>
      </c>
    </row>
    <row r="9" spans="1:9" ht="15" x14ac:dyDescent="0.25">
      <c r="A9" s="12">
        <v>7</v>
      </c>
      <c r="B9" s="16" t="s">
        <v>7</v>
      </c>
      <c r="C9" s="17">
        <v>4.3</v>
      </c>
      <c r="D9" s="38">
        <v>4.4000000000000004</v>
      </c>
      <c r="E9" s="17">
        <f t="shared" si="0"/>
        <v>-0.10000000000000053</v>
      </c>
      <c r="F9" s="38">
        <v>4.5</v>
      </c>
      <c r="G9" s="17">
        <f t="shared" si="1"/>
        <v>-0.20000000000000018</v>
      </c>
      <c r="H9" s="15"/>
      <c r="I9" s="49" t="s">
        <v>7</v>
      </c>
    </row>
    <row r="10" spans="1:9" ht="15" x14ac:dyDescent="0.25">
      <c r="A10" s="12">
        <v>8</v>
      </c>
      <c r="B10" s="16" t="s">
        <v>8</v>
      </c>
      <c r="C10" s="17">
        <v>4.0999999999999996</v>
      </c>
      <c r="D10" s="38">
        <v>4.2</v>
      </c>
      <c r="E10" s="17">
        <f t="shared" si="0"/>
        <v>-0.10000000000000053</v>
      </c>
      <c r="F10" s="38">
        <v>4.3</v>
      </c>
      <c r="G10" s="17">
        <f t="shared" si="1"/>
        <v>-0.20000000000000018</v>
      </c>
      <c r="H10" s="15"/>
      <c r="I10" s="49" t="s">
        <v>8</v>
      </c>
    </row>
    <row r="11" spans="1:9" ht="15" x14ac:dyDescent="0.25">
      <c r="A11" s="12">
        <v>9</v>
      </c>
      <c r="B11" s="16" t="s">
        <v>9</v>
      </c>
      <c r="C11" s="17">
        <v>5.7</v>
      </c>
      <c r="D11" s="38">
        <v>5.9</v>
      </c>
      <c r="E11" s="17">
        <f t="shared" si="0"/>
        <v>-0.20000000000000018</v>
      </c>
      <c r="F11" s="38">
        <v>6.2</v>
      </c>
      <c r="G11" s="17">
        <f t="shared" si="1"/>
        <v>-0.5</v>
      </c>
      <c r="H11" s="15"/>
      <c r="I11" s="49" t="s">
        <v>9</v>
      </c>
    </row>
    <row r="12" spans="1:9" ht="15" x14ac:dyDescent="0.2">
      <c r="A12" s="12">
        <v>10</v>
      </c>
      <c r="B12" s="13" t="s">
        <v>10</v>
      </c>
      <c r="C12" s="136">
        <v>8.5</v>
      </c>
      <c r="D12" s="39">
        <v>8.6999999999999993</v>
      </c>
      <c r="E12" s="14">
        <f>C12-D12</f>
        <v>-0.19999999999999929</v>
      </c>
      <c r="F12" s="39">
        <v>8.8000000000000007</v>
      </c>
      <c r="G12" s="14">
        <f t="shared" si="1"/>
        <v>-0.30000000000000071</v>
      </c>
      <c r="H12" s="15"/>
      <c r="I12" s="52" t="s">
        <v>10</v>
      </c>
    </row>
    <row r="13" spans="1:9" ht="15" x14ac:dyDescent="0.25">
      <c r="A13" s="12">
        <v>11</v>
      </c>
      <c r="B13" s="16" t="s">
        <v>11</v>
      </c>
      <c r="C13" s="135">
        <v>6.9</v>
      </c>
      <c r="D13" s="38">
        <v>7</v>
      </c>
      <c r="E13" s="17">
        <f t="shared" si="0"/>
        <v>-9.9999999999999645E-2</v>
      </c>
      <c r="F13" s="38">
        <v>7</v>
      </c>
      <c r="G13" s="17">
        <f t="shared" si="1"/>
        <v>-9.9999999999999645E-2</v>
      </c>
      <c r="H13" s="15"/>
      <c r="I13" s="49" t="s">
        <v>11</v>
      </c>
    </row>
    <row r="14" spans="1:9" ht="15" x14ac:dyDescent="0.25">
      <c r="A14" s="12">
        <v>12</v>
      </c>
      <c r="B14" s="16" t="s">
        <v>12</v>
      </c>
      <c r="C14" s="17">
        <v>4.8</v>
      </c>
      <c r="D14" s="38">
        <v>4.9000000000000004</v>
      </c>
      <c r="E14" s="17">
        <f t="shared" si="0"/>
        <v>-0.10000000000000053</v>
      </c>
      <c r="F14" s="38">
        <v>4.7</v>
      </c>
      <c r="G14" s="17">
        <f t="shared" si="1"/>
        <v>9.9999999999999645E-2</v>
      </c>
      <c r="H14" s="15"/>
      <c r="I14" s="49" t="s">
        <v>12</v>
      </c>
    </row>
    <row r="15" spans="1:9" ht="15" x14ac:dyDescent="0.25">
      <c r="A15" s="12">
        <v>13</v>
      </c>
      <c r="B15" s="16" t="s">
        <v>13</v>
      </c>
      <c r="C15" s="17">
        <v>3.7</v>
      </c>
      <c r="D15" s="38">
        <v>3.8</v>
      </c>
      <c r="E15" s="17">
        <f t="shared" si="0"/>
        <v>-9.9999999999999645E-2</v>
      </c>
      <c r="F15" s="38">
        <v>3.8</v>
      </c>
      <c r="G15" s="17">
        <f t="shared" si="1"/>
        <v>-9.9999999999999645E-2</v>
      </c>
      <c r="H15" s="15"/>
      <c r="I15" s="49" t="s">
        <v>13</v>
      </c>
    </row>
    <row r="16" spans="1:9" ht="15" x14ac:dyDescent="0.25">
      <c r="A16" s="12">
        <v>14</v>
      </c>
      <c r="B16" s="16" t="s">
        <v>14</v>
      </c>
      <c r="C16" s="17">
        <v>7.5</v>
      </c>
      <c r="D16" s="38">
        <v>7.7</v>
      </c>
      <c r="E16" s="17">
        <f t="shared" si="0"/>
        <v>-0.20000000000000018</v>
      </c>
      <c r="F16" s="38">
        <v>7.9</v>
      </c>
      <c r="G16" s="17">
        <f t="shared" si="1"/>
        <v>-0.40000000000000036</v>
      </c>
      <c r="H16" s="15"/>
      <c r="I16" s="49" t="s">
        <v>14</v>
      </c>
    </row>
    <row r="17" spans="1:9" ht="15" x14ac:dyDescent="0.25">
      <c r="A17" s="12">
        <v>15</v>
      </c>
      <c r="B17" s="16" t="s">
        <v>15</v>
      </c>
      <c r="C17" s="17">
        <v>8.1</v>
      </c>
      <c r="D17" s="38">
        <v>8.5</v>
      </c>
      <c r="E17" s="17">
        <f t="shared" si="0"/>
        <v>-0.40000000000000036</v>
      </c>
      <c r="F17" s="38">
        <v>8.6999999999999993</v>
      </c>
      <c r="G17" s="17">
        <f t="shared" si="1"/>
        <v>-0.59999999999999964</v>
      </c>
      <c r="H17" s="15"/>
      <c r="I17" s="49" t="s">
        <v>50</v>
      </c>
    </row>
    <row r="18" spans="1:9" ht="15" x14ac:dyDescent="0.25">
      <c r="A18" s="12">
        <v>16</v>
      </c>
      <c r="B18" s="16" t="s">
        <v>16</v>
      </c>
      <c r="C18" s="17">
        <v>3.1</v>
      </c>
      <c r="D18" s="38">
        <v>3.2</v>
      </c>
      <c r="E18" s="17">
        <f t="shared" si="0"/>
        <v>-0.10000000000000009</v>
      </c>
      <c r="F18" s="38">
        <v>3.1</v>
      </c>
      <c r="G18" s="17">
        <f t="shared" si="1"/>
        <v>0</v>
      </c>
      <c r="H18" s="15"/>
      <c r="I18" s="49" t="s">
        <v>16</v>
      </c>
    </row>
    <row r="19" spans="1:9" ht="15" x14ac:dyDescent="0.25">
      <c r="A19" s="12">
        <v>17</v>
      </c>
      <c r="B19" s="16" t="s">
        <v>17</v>
      </c>
      <c r="C19" s="17">
        <v>6.8</v>
      </c>
      <c r="D19" s="38">
        <v>7</v>
      </c>
      <c r="E19" s="17">
        <f t="shared" si="0"/>
        <v>-0.20000000000000018</v>
      </c>
      <c r="F19" s="38">
        <v>6.8</v>
      </c>
      <c r="G19" s="17">
        <f t="shared" si="1"/>
        <v>0</v>
      </c>
      <c r="H19" s="15"/>
      <c r="I19" s="49" t="s">
        <v>17</v>
      </c>
    </row>
    <row r="20" spans="1:9" ht="12.75" customHeight="1" x14ac:dyDescent="0.2">
      <c r="B20" s="30" t="s">
        <v>51</v>
      </c>
    </row>
    <row r="21" spans="1:9" ht="13.5" customHeight="1" x14ac:dyDescent="0.2">
      <c r="B21" s="47"/>
    </row>
    <row r="22" spans="1:9" x14ac:dyDescent="0.2">
      <c r="B22" s="30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3.5703125" style="2" customWidth="1"/>
    <col min="2" max="2" width="8.140625" style="2" customWidth="1"/>
    <col min="3" max="3" width="28" style="2" customWidth="1"/>
    <col min="4" max="4" width="14.28515625" style="2" customWidth="1"/>
    <col min="5" max="5" width="13.28515625" style="2" customWidth="1"/>
    <col min="6" max="6" width="18.42578125" style="2" customWidth="1"/>
    <col min="7" max="7" width="13.140625" style="2" customWidth="1"/>
    <col min="8" max="8" width="16.710937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46</v>
      </c>
    </row>
    <row r="2" spans="1:8" ht="15" x14ac:dyDescent="0.2">
      <c r="C2" s="7"/>
      <c r="D2" s="8"/>
    </row>
    <row r="3" spans="1:8" ht="71.25" x14ac:dyDescent="0.2">
      <c r="B3" s="35" t="s">
        <v>45</v>
      </c>
      <c r="C3" s="32" t="str">
        <f>T('1s.bezr.Pol'!B2)</f>
        <v>powiaty</v>
      </c>
      <c r="D3" s="32" t="str">
        <f>T('1s.bezr.Pol'!C2)</f>
        <v>Stopa bezrobocia stan na 30-04-'24 r. (w proc.)*</v>
      </c>
      <c r="E3" s="32" t="str">
        <f>T('1s.bezr.Pol'!D2)</f>
        <v>Stopa bezrobocia stan na 31-03-'24 r. (w proc.)*</v>
      </c>
      <c r="F3" s="37" t="str">
        <f>T('1s.bezr.Pol'!E2)</f>
        <v>wzrost lub spadek do poprzedniego miesiąca (pkt. proc.)</v>
      </c>
      <c r="G3" s="53" t="str">
        <f>T('1s.bezr.Pol'!F2)</f>
        <v>Stopa bezrobocia stan na 30-04-'23 r. (w proc.)*</v>
      </c>
      <c r="H3" s="37" t="str">
        <f>T('1s.bezr.Pol'!G2)</f>
        <v>wzrost lub spadek do początku roku (pkt. proc.)</v>
      </c>
    </row>
    <row r="4" spans="1:8" x14ac:dyDescent="0.2">
      <c r="A4" s="2">
        <v>1</v>
      </c>
      <c r="B4" s="4">
        <f>RANK('1s.bezr.Pol'!C3,'1s.bezr.Pol'!$C$3:'1s.bezr.Pol'!$C$19,1)+COUNTIF('1s.bezr.Pol'!$C$4:'1s.bezr.Pol'!C3,'1s.bezr.Pol'!C3)-1</f>
        <v>8</v>
      </c>
      <c r="C4" s="3" t="str">
        <f>INDEX('1s.bezr.Pol'!B3:G19,MATCH(1,B4:B20,0),1)</f>
        <v>WIELKOPOLSKIE</v>
      </c>
      <c r="D4" s="15">
        <f>INDEX('1s.bezr.Pol'!B3:G19,MATCH(1,B4:B20,0),2)</f>
        <v>3.1</v>
      </c>
      <c r="E4" s="18">
        <f>INDEX('1s.bezr.Pol'!B3:G19,MATCH(1,B4:B20,0),3)</f>
        <v>3.2</v>
      </c>
      <c r="F4" s="38">
        <f>INDEX('1s.bezr.Pol'!B3:G19,MATCH(1,B4:B20,0),4)</f>
        <v>-0.10000000000000009</v>
      </c>
      <c r="G4" s="18">
        <f>INDEX('1s.bezr.Pol'!B3:G19,MATCH(1,B4:B20,0),5)</f>
        <v>3.1</v>
      </c>
      <c r="H4" s="38">
        <f>INDEX('1s.bezr.Pol'!B3:G19,MATCH(1,B4:B20,0),6)</f>
        <v>0</v>
      </c>
    </row>
    <row r="5" spans="1:8" x14ac:dyDescent="0.2">
      <c r="A5" s="2">
        <v>2</v>
      </c>
      <c r="B5" s="4">
        <f>RANK('1s.bezr.Pol'!C4,'1s.bezr.Pol'!$C$3:'1s.bezr.Pol'!$C$19,1)+COUNTIF('1s.bezr.Pol'!$C$4:'1s.bezr.Pol'!C4,'1s.bezr.Pol'!C4)-1</f>
        <v>6</v>
      </c>
      <c r="C5" s="3" t="str">
        <f>INDEX('1s.bezr.Pol'!B3:G19,MATCH(2,B4:B20,0),1)</f>
        <v>ŚLĄSKIE</v>
      </c>
      <c r="D5" s="5">
        <f>INDEX('1s.bezr.Pol'!B3:G19,MATCH(2,B4:B20,0),2)</f>
        <v>3.7</v>
      </c>
      <c r="E5" s="18">
        <f>INDEX('1s.bezr.Pol'!B3:G19,MATCH(2,B4:B20,0),3)</f>
        <v>3.8</v>
      </c>
      <c r="F5" s="38">
        <f>INDEX('1s.bezr.Pol'!B3:G19,MATCH(2,B4:B20,0),4)</f>
        <v>-9.9999999999999645E-2</v>
      </c>
      <c r="G5" s="18">
        <f>INDEX('1s.bezr.Pol'!B3:G19,MATCH(2,B4:B20,0),5)</f>
        <v>3.8</v>
      </c>
      <c r="H5" s="38">
        <f>INDEX('1s.bezr.Pol'!B3:G19,MATCH(2,B4:B20,0),6)</f>
        <v>-9.9999999999999645E-2</v>
      </c>
    </row>
    <row r="6" spans="1:8" x14ac:dyDescent="0.2">
      <c r="A6" s="2">
        <v>3</v>
      </c>
      <c r="B6" s="4">
        <f>RANK('1s.bezr.Pol'!C5,'1s.bezr.Pol'!$C$3:'1s.bezr.Pol'!$C$19,1)+COUNTIF('1s.bezr.Pol'!$C$4:'1s.bezr.Pol'!C5,'1s.bezr.Pol'!C5)-1</f>
        <v>13</v>
      </c>
      <c r="C6" s="3" t="str">
        <f>INDEX('1s.bezr.Pol'!B3:G19,MATCH(3,B4:B20,0),1)</f>
        <v>MAZOWIECKIE</v>
      </c>
      <c r="D6" s="5">
        <f>INDEX('1s.bezr.Pol'!B3:G19,MATCH(3,B4:B20,0),2)</f>
        <v>4.0999999999999996</v>
      </c>
      <c r="E6" s="18">
        <f>INDEX('1s.bezr.Pol'!B3:G19,MATCH(3,B4:B20,0),3)</f>
        <v>4.2</v>
      </c>
      <c r="F6" s="38">
        <f>INDEX('1s.bezr.Pol'!B3:G19,MATCH(3,B4:B20,0),4)</f>
        <v>-0.10000000000000053</v>
      </c>
      <c r="G6" s="18">
        <f>INDEX('1s.bezr.Pol'!B3:G19,MATCH(3,B4:B20,0),5)</f>
        <v>4.3</v>
      </c>
      <c r="H6" s="38">
        <f>INDEX('1s.bezr.Pol'!B3:G19,MATCH(3,B4:B20,0),6)</f>
        <v>-0.20000000000000018</v>
      </c>
    </row>
    <row r="7" spans="1:8" x14ac:dyDescent="0.2">
      <c r="A7" s="2">
        <v>4</v>
      </c>
      <c r="B7" s="4">
        <f>RANK('1s.bezr.Pol'!C6,'1s.bezr.Pol'!$C$3:'1s.bezr.Pol'!$C$19,1)+COUNTIF('1s.bezr.Pol'!$C$4:'1s.bezr.Pol'!C6,'1s.bezr.Pol'!C6)-1</f>
        <v>14</v>
      </c>
      <c r="C7" s="3" t="str">
        <f>INDEX('1s.bezr.Pol'!B3:G19,MATCH(4,B4:B20,0),1)</f>
        <v>MAŁOPOLSKIE</v>
      </c>
      <c r="D7" s="5">
        <f>INDEX('1s.bezr.Pol'!B3:G19,MATCH(4,B4:B20,0),2)</f>
        <v>4.3</v>
      </c>
      <c r="E7" s="18">
        <f>INDEX('1s.bezr.Pol'!B3:G19,MATCH(4,B4:B20,0),3)</f>
        <v>4.4000000000000004</v>
      </c>
      <c r="F7" s="38">
        <f>INDEX('1s.bezr.Pol'!B3:G19,MATCH(4,B4:B20,0),4)</f>
        <v>-0.10000000000000053</v>
      </c>
      <c r="G7" s="18">
        <f>INDEX('1s.bezr.Pol'!B3:G19,MATCH(4,B4:B20,0),5)</f>
        <v>4.5</v>
      </c>
      <c r="H7" s="38">
        <f>INDEX('1s.bezr.Pol'!B3:G19,MATCH(4,B4:B20,0),6)</f>
        <v>-0.20000000000000018</v>
      </c>
    </row>
    <row r="8" spans="1:8" x14ac:dyDescent="0.2">
      <c r="A8" s="2">
        <v>5</v>
      </c>
      <c r="B8" s="4">
        <f>RANK('1s.bezr.Pol'!C7,'1s.bezr.Pol'!$C$3:'1s.bezr.Pol'!$C$19,1)+COUNTIF('1s.bezr.Pol'!$C$4:'1s.bezr.Pol'!C7,'1s.bezr.Pol'!C7)-1</f>
        <v>5</v>
      </c>
      <c r="C8" s="3" t="str">
        <f>INDEX('1s.bezr.Pol'!B3:G19,MATCH(5,B4:B20,0),1)</f>
        <v>LUBUSKIE</v>
      </c>
      <c r="D8" s="5">
        <f>INDEX('1s.bezr.Pol'!B3:G19,MATCH(5,B4:B20,0),2)</f>
        <v>4.5</v>
      </c>
      <c r="E8" s="18">
        <f>INDEX('1s.bezr.Pol'!B3:G19,MATCH(5,B4:B20,0),3)</f>
        <v>4.5999999999999996</v>
      </c>
      <c r="F8" s="38">
        <f>INDEX('1s.bezr.Pol'!B3:G19,MATCH(5,B4:B20,0),4)</f>
        <v>-9.9999999999999645E-2</v>
      </c>
      <c r="G8" s="18">
        <f>INDEX('1s.bezr.Pol'!B3:G19,MATCH(5,B4:B20,0),5)</f>
        <v>4.5</v>
      </c>
      <c r="H8" s="38">
        <f>INDEX('1s.bezr.Pol'!B3:G19,MATCH(5,B4:B20,0),6)</f>
        <v>0</v>
      </c>
    </row>
    <row r="9" spans="1:8" x14ac:dyDescent="0.2">
      <c r="A9" s="2">
        <v>6</v>
      </c>
      <c r="B9" s="4">
        <f>RANK('1s.bezr.Pol'!C8,'1s.bezr.Pol'!$C$3:'1s.bezr.Pol'!$C$19,1)+COUNTIF('1s.bezr.Pol'!$C$4:'1s.bezr.Pol'!C8,'1s.bezr.Pol'!C8)-1</f>
        <v>9</v>
      </c>
      <c r="C9" s="3" t="str">
        <f>INDEX('1s.bezr.Pol'!B3:G19,MATCH(6,B4:B20,0),1)</f>
        <v>DOLNOŚLĄSKIE</v>
      </c>
      <c r="D9" s="5">
        <f>INDEX('1s.bezr.Pol'!B3:G19,MATCH(6,B4:B20,0),2)</f>
        <v>4.5999999999999996</v>
      </c>
      <c r="E9" s="18">
        <f>INDEX('1s.bezr.Pol'!B3:G19,MATCH(6,B4:B20,0),3)</f>
        <v>4.7</v>
      </c>
      <c r="F9" s="38">
        <f>INDEX('1s.bezr.Pol'!B3:G19,MATCH(6,B4:B20,0),4)</f>
        <v>-0.10000000000000053</v>
      </c>
      <c r="G9" s="18">
        <f>INDEX('1s.bezr.Pol'!B3:G19,MATCH(6,B4:B20,0),5)</f>
        <v>4.5999999999999996</v>
      </c>
      <c r="H9" s="38">
        <f>INDEX('1s.bezr.Pol'!B3:G19,MATCH(6,B4:B20,0),6)</f>
        <v>0</v>
      </c>
    </row>
    <row r="10" spans="1:8" x14ac:dyDescent="0.2">
      <c r="A10" s="2">
        <v>7</v>
      </c>
      <c r="B10" s="4">
        <f>RANK('1s.bezr.Pol'!C9,'1s.bezr.Pol'!$C$3:'1s.bezr.Pol'!$C$19,1)+COUNTIF('1s.bezr.Pol'!$C$4:'1s.bezr.Pol'!C9,'1s.bezr.Pol'!C9)-1</f>
        <v>4</v>
      </c>
      <c r="C10" s="6" t="str">
        <f>INDEX('1s.bezr.Pol'!B3:G19,MATCH(7,B4:B20,0),1)</f>
        <v>POMORSKIE</v>
      </c>
      <c r="D10" s="5">
        <f>INDEX('1s.bezr.Pol'!B3:G19,MATCH(7,B4:B20,0),2)</f>
        <v>4.8</v>
      </c>
      <c r="E10" s="18">
        <f>INDEX('1s.bezr.Pol'!B3:G19,MATCH(7,B4:B20,0),3)</f>
        <v>4.9000000000000004</v>
      </c>
      <c r="F10" s="38">
        <f>INDEX('1s.bezr.Pol'!B3:G19,MATCH(7,B4:B20,0),4)</f>
        <v>-0.10000000000000053</v>
      </c>
      <c r="G10" s="18">
        <f>INDEX('1s.bezr.Pol'!B3:G19,MATCH(7,B4:B20,0),5)</f>
        <v>4.7</v>
      </c>
      <c r="H10" s="38">
        <f>INDEX('1s.bezr.Pol'!B3:G19,MATCH(7,B4:B20,0),6)</f>
        <v>9.9999999999999645E-2</v>
      </c>
    </row>
    <row r="11" spans="1:8" ht="15" x14ac:dyDescent="0.25">
      <c r="A11" s="2">
        <v>8</v>
      </c>
      <c r="B11" s="9">
        <f>RANK('1s.bezr.Pol'!C10,'1s.bezr.Pol'!$C$3:'1s.bezr.Pol'!$C$19,1)+COUNTIF('1s.bezr.Pol'!$C$4:'1s.bezr.Pol'!C10,'1s.bezr.Pol'!C10)-1</f>
        <v>3</v>
      </c>
      <c r="C11" s="28" t="str">
        <f>INDEX('1s.bezr.Pol'!B3:G19,MATCH(8,B4:B20,0),1)</f>
        <v>POLSKA</v>
      </c>
      <c r="D11" s="21">
        <f>INDEX('1s.bezr.Pol'!B3:G19,MATCH(8,B4:B20,0),2)</f>
        <v>5.0999999999999996</v>
      </c>
      <c r="E11" s="29">
        <f>INDEX('1s.bezr.Pol'!B3:G19,MATCH(8,B4:B20,0),3)</f>
        <v>5.3</v>
      </c>
      <c r="F11" s="39">
        <f>INDEX('1s.bezr.Pol'!B3:G19,MATCH(8,B4:B20,0),4)</f>
        <v>-0.20000000000000018</v>
      </c>
      <c r="G11" s="29">
        <f>INDEX('1s.bezr.Pol'!B3:G19,MATCH(8,B4:B20,0),5)</f>
        <v>5.3</v>
      </c>
      <c r="H11" s="39">
        <f>INDEX('1s.bezr.Pol'!B3:G19,MATCH(8,B4:B20,0),6)</f>
        <v>-0.20000000000000018</v>
      </c>
    </row>
    <row r="12" spans="1:8" x14ac:dyDescent="0.2">
      <c r="A12" s="2">
        <v>9</v>
      </c>
      <c r="B12" s="4">
        <f>RANK('1s.bezr.Pol'!C11,'1s.bezr.Pol'!$C$3:'1s.bezr.Pol'!$C$19,1)+COUNTIF('1s.bezr.Pol'!$C$4:'1s.bezr.Pol'!C11,'1s.bezr.Pol'!C11)-1</f>
        <v>10</v>
      </c>
      <c r="C12" s="3" t="str">
        <f>INDEX('1s.bezr.Pol'!B3:G19,MATCH(9,B4:B20,0),1)</f>
        <v>ŁÓDZKIE</v>
      </c>
      <c r="D12" s="5">
        <f>INDEX('1s.bezr.Pol'!B3:G19,MATCH(9,B4:B20,0),2)</f>
        <v>5.4</v>
      </c>
      <c r="E12" s="18">
        <f>INDEX('1s.bezr.Pol'!B3:G19,MATCH(9,B4:B20,0),3)</f>
        <v>5.6</v>
      </c>
      <c r="F12" s="38">
        <f>INDEX('1s.bezr.Pol'!B3:G19,MATCH(9,B4:B20,0),4)</f>
        <v>-0.19999999999999929</v>
      </c>
      <c r="G12" s="18">
        <f>INDEX('1s.bezr.Pol'!B3:G19,MATCH(9,B4:B20,0),5)</f>
        <v>5.7</v>
      </c>
      <c r="H12" s="38">
        <f>INDEX('1s.bezr.Pol'!B3:G19,MATCH(9,B4:B20,0),6)</f>
        <v>-0.29999999999999982</v>
      </c>
    </row>
    <row r="13" spans="1:8" x14ac:dyDescent="0.2">
      <c r="A13" s="2">
        <v>10</v>
      </c>
      <c r="B13" s="4">
        <f>RANK('1s.bezr.Pol'!C12,'1s.bezr.Pol'!$C$3:'1s.bezr.Pol'!$C$19,1)+COUNTIF('1s.bezr.Pol'!$C$4:'1s.bezr.Pol'!C12,'1s.bezr.Pol'!C12)-1</f>
        <v>17</v>
      </c>
      <c r="C13" s="3" t="str">
        <f>INDEX('1s.bezr.Pol'!B3:G19,MATCH(10,B4:B20,0),1)</f>
        <v>OPOLSKIE</v>
      </c>
      <c r="D13" s="5">
        <f>INDEX('1s.bezr.Pol'!B3:G19,MATCH(10,B4:B20,0),2)</f>
        <v>5.7</v>
      </c>
      <c r="E13" s="18">
        <f>INDEX('1s.bezr.Pol'!B3:G19,MATCH(10,B4:B20,0),3)</f>
        <v>5.9</v>
      </c>
      <c r="F13" s="38">
        <f>INDEX('1s.bezr.Pol'!B3:G19,MATCH(10,B4:B20,0),4)</f>
        <v>-0.20000000000000018</v>
      </c>
      <c r="G13" s="18">
        <f>INDEX('1s.bezr.Pol'!B3:G19,MATCH(10,B4:B20,0),5)</f>
        <v>6.2</v>
      </c>
      <c r="H13" s="38">
        <f>INDEX('1s.bezr.Pol'!B3:G19,MATCH(10,B4:B20,0),6)</f>
        <v>-0.5</v>
      </c>
    </row>
    <row r="14" spans="1:8" x14ac:dyDescent="0.2">
      <c r="A14" s="2">
        <v>11</v>
      </c>
      <c r="B14" s="4">
        <f>RANK('1s.bezr.Pol'!C13,'1s.bezr.Pol'!$C$3:'1s.bezr.Pol'!$C$19,1)+COUNTIF('1s.bezr.Pol'!$C$4:'1s.bezr.Pol'!C13,'1s.bezr.Pol'!C13)-1</f>
        <v>12</v>
      </c>
      <c r="C14" s="3" t="str">
        <f>INDEX('1s.bezr.Pol'!B3:G19,MATCH(11,B4:B20,0),1)</f>
        <v>ZACHODNIOPOMORSKIE</v>
      </c>
      <c r="D14" s="5">
        <f>INDEX('1s.bezr.Pol'!B3:G19,MATCH(11,B4:B20,0),2)</f>
        <v>6.8</v>
      </c>
      <c r="E14" s="18">
        <f>INDEX('1s.bezr.Pol'!B3:G19,MATCH(11,B4:B20,0),3)</f>
        <v>7</v>
      </c>
      <c r="F14" s="38">
        <f>INDEX('1s.bezr.Pol'!B3:G19,MATCH(11,B4:B20,0),4)</f>
        <v>-0.20000000000000018</v>
      </c>
      <c r="G14" s="18">
        <f>INDEX('1s.bezr.Pol'!B3:G19,MATCH(11,B4:B20,0),5)</f>
        <v>6.8</v>
      </c>
      <c r="H14" s="38">
        <f>INDEX('1s.bezr.Pol'!B3:G19,MATCH(11,B4:B20,0),6)</f>
        <v>0</v>
      </c>
    </row>
    <row r="15" spans="1:8" x14ac:dyDescent="0.2">
      <c r="A15" s="2">
        <v>12</v>
      </c>
      <c r="B15" s="4">
        <f>RANK('1s.bezr.Pol'!C14,'1s.bezr.Pol'!$C$3:'1s.bezr.Pol'!$C$19,1)+COUNTIF('1s.bezr.Pol'!$C$4:'1s.bezr.Pol'!C14,'1s.bezr.Pol'!C14)-1</f>
        <v>7</v>
      </c>
      <c r="C15" s="3" t="str">
        <f>INDEX('1s.bezr.Pol'!B3:G19,MATCH(12,B4:B20,0),1)</f>
        <v>PODLASKIE</v>
      </c>
      <c r="D15" s="5">
        <f>INDEX('1s.bezr.Pol'!B3:G19,MATCH(12,B4:B20,0),2)</f>
        <v>6.9</v>
      </c>
      <c r="E15" s="18">
        <f>INDEX('1s.bezr.Pol'!B3:G19,MATCH(12,B4:B20,0),3)</f>
        <v>7</v>
      </c>
      <c r="F15" s="38">
        <f>INDEX('1s.bezr.Pol'!B3:G19,MATCH(12,B4:B20,0),4)</f>
        <v>-9.9999999999999645E-2</v>
      </c>
      <c r="G15" s="18">
        <f>INDEX('1s.bezr.Pol'!B3:G19,MATCH(12,B4:B20,0),5)</f>
        <v>7</v>
      </c>
      <c r="H15" s="38">
        <f>INDEX('1s.bezr.Pol'!B3:G19,MATCH(12,B4:B20,0),6)</f>
        <v>-9.9999999999999645E-2</v>
      </c>
    </row>
    <row r="16" spans="1:8" x14ac:dyDescent="0.2">
      <c r="A16" s="2">
        <v>13</v>
      </c>
      <c r="B16" s="4">
        <f>RANK('1s.bezr.Pol'!C15,'1s.bezr.Pol'!$C$3:'1s.bezr.Pol'!$C$19,1)+COUNTIF('1s.bezr.Pol'!$C$4:'1s.bezr.Pol'!C15,'1s.bezr.Pol'!C15)-1</f>
        <v>2</v>
      </c>
      <c r="C16" s="3" t="str">
        <f>INDEX('1s.bezr.Pol'!B3:G19,MATCH(13,B4:B20,0),1)</f>
        <v>KUJAWSKO-POMORSKIE</v>
      </c>
      <c r="D16" s="5">
        <f>INDEX('1s.bezr.Pol'!B3:G19,MATCH(13,B4:B20,0),2)</f>
        <v>7.1</v>
      </c>
      <c r="E16" s="18">
        <f>INDEX('1s.bezr.Pol'!B3:G19,MATCH(13,B4:B20,0),3)</f>
        <v>7.3</v>
      </c>
      <c r="F16" s="38">
        <f>INDEX('1s.bezr.Pol'!B3:G19,MATCH(13,B4:B20,0),4)</f>
        <v>-0.20000000000000018</v>
      </c>
      <c r="G16" s="18">
        <f>INDEX('1s.bezr.Pol'!B3:G19,MATCH(13,B4:B20,0),5)</f>
        <v>7.3</v>
      </c>
      <c r="H16" s="38">
        <f>INDEX('1s.bezr.Pol'!B3:G19,MATCH(13,B4:B20,0),6)</f>
        <v>-0.20000000000000018</v>
      </c>
    </row>
    <row r="17" spans="1:8" x14ac:dyDescent="0.2">
      <c r="A17" s="2">
        <v>14</v>
      </c>
      <c r="B17" s="4">
        <f>RANK('1s.bezr.Pol'!C16,'1s.bezr.Pol'!$C$3:'1s.bezr.Pol'!$C$19,1)+COUNTIF('1s.bezr.Pol'!$C$4:'1s.bezr.Pol'!C16,'1s.bezr.Pol'!C16)-1</f>
        <v>15</v>
      </c>
      <c r="C17" s="3" t="str">
        <f>INDEX('1s.bezr.Pol'!B3:G19,MATCH(14,B4:B20,0),1)</f>
        <v>LUBELSKIE</v>
      </c>
      <c r="D17" s="5">
        <f>INDEX('1s.bezr.Pol'!B3:G19,MATCH(14,B4:B20,0),2)</f>
        <v>7.5</v>
      </c>
      <c r="E17" s="18">
        <f>INDEX('1s.bezr.Pol'!B3:G19,MATCH(14,B4:B20,0),3)</f>
        <v>7.6</v>
      </c>
      <c r="F17" s="38">
        <f>INDEX('1s.bezr.Pol'!B3:G19,MATCH(14,B4:B20,0),4)</f>
        <v>-9.9999999999999645E-2</v>
      </c>
      <c r="G17" s="18">
        <f>INDEX('1s.bezr.Pol'!B3:G19,MATCH(14,B4:B20,0),5)</f>
        <v>7.9</v>
      </c>
      <c r="H17" s="38">
        <f>INDEX('1s.bezr.Pol'!B3:G19,MATCH(14,B4:B20,0),6)</f>
        <v>-0.40000000000000036</v>
      </c>
    </row>
    <row r="18" spans="1:8" x14ac:dyDescent="0.2">
      <c r="A18" s="2">
        <v>15</v>
      </c>
      <c r="B18" s="4">
        <f>RANK('1s.bezr.Pol'!C17,'1s.bezr.Pol'!$C$3:'1s.bezr.Pol'!$C$19,1)+COUNTIF('1s.bezr.Pol'!$C$4:'1s.bezr.Pol'!C17,'1s.bezr.Pol'!C17)-1</f>
        <v>16</v>
      </c>
      <c r="C18" s="3" t="str">
        <f>INDEX('1s.bezr.Pol'!B3:G19,MATCH(15,B4:B20,0),1)</f>
        <v>ŚWIĘTOKRZYSKIE</v>
      </c>
      <c r="D18" s="5">
        <f>INDEX('1s.bezr.Pol'!B3:G19,MATCH(15,B4:B20,0),2)</f>
        <v>7.5</v>
      </c>
      <c r="E18" s="18">
        <f>INDEX('1s.bezr.Pol'!B3:G19,MATCH(15,B4:B20,0),3)</f>
        <v>7.7</v>
      </c>
      <c r="F18" s="38">
        <f>INDEX('1s.bezr.Pol'!B3:G19,MATCH(15,B4:B20,0),4)</f>
        <v>-0.20000000000000018</v>
      </c>
      <c r="G18" s="18">
        <f>INDEX('1s.bezr.Pol'!B3:G19,MATCH(15,B4:B20,0),5)</f>
        <v>7.9</v>
      </c>
      <c r="H18" s="38">
        <f>INDEX('1s.bezr.Pol'!B3:G19,MATCH(15,B4:B20,0),6)</f>
        <v>-0.40000000000000036</v>
      </c>
    </row>
    <row r="19" spans="1:8" x14ac:dyDescent="0.2">
      <c r="A19" s="2">
        <v>16</v>
      </c>
      <c r="B19" s="4">
        <f>RANK('1s.bezr.Pol'!C18,'1s.bezr.Pol'!$C$3:'1s.bezr.Pol'!$C$19,1)+COUNTIF('1s.bezr.Pol'!$C$4:'1s.bezr.Pol'!C18,'1s.bezr.Pol'!C18)-1</f>
        <v>1</v>
      </c>
      <c r="C19" s="3" t="str">
        <f>INDEX('1s.bezr.Pol'!B3:G19,MATCH(16,B4:B20,0),1)</f>
        <v>WARMIŃSKO-MAZURSKIE</v>
      </c>
      <c r="D19" s="5">
        <f>INDEX('1s.bezr.Pol'!B3:G19,MATCH(16,B4:B20,0),2)</f>
        <v>8.1</v>
      </c>
      <c r="E19" s="18">
        <f>INDEX('1s.bezr.Pol'!B3:G19,MATCH(16,B4:B20,0),3)</f>
        <v>8.5</v>
      </c>
      <c r="F19" s="38">
        <f>INDEX('1s.bezr.Pol'!B3:G19,MATCH(16,B4:B20,0),4)</f>
        <v>-0.40000000000000036</v>
      </c>
      <c r="G19" s="18">
        <f>INDEX('1s.bezr.Pol'!B3:G19,MATCH(16,B4:B20,0),5)</f>
        <v>8.6999999999999993</v>
      </c>
      <c r="H19" s="38">
        <f>INDEX('1s.bezr.Pol'!B3:G19,MATCH(16,B4:B20,0),6)</f>
        <v>-0.59999999999999964</v>
      </c>
    </row>
    <row r="20" spans="1:8" x14ac:dyDescent="0.2">
      <c r="A20" s="2">
        <v>17</v>
      </c>
      <c r="B20" s="4">
        <f>RANK('1s.bezr.Pol'!C19,'1s.bezr.Pol'!$C$3:'1s.bezr.Pol'!$C$19,1)+COUNTIF('1s.bezr.Pol'!$C$4:'1s.bezr.Pol'!C19,'1s.bezr.Pol'!C19)-1</f>
        <v>11</v>
      </c>
      <c r="C20" s="6" t="str">
        <f>INDEX('1s.bezr.Pol'!B3:G19,MATCH(17,B4:B20,0),1)</f>
        <v>PODKARPACKIE</v>
      </c>
      <c r="D20" s="5">
        <f>INDEX('1s.bezr.Pol'!B3:G19,MATCH(17,B4:B20,0),2)</f>
        <v>8.5</v>
      </c>
      <c r="E20" s="18">
        <f>INDEX('1s.bezr.Pol'!B3:G19,MATCH(17,B4:B20,0),3)</f>
        <v>8.6999999999999993</v>
      </c>
      <c r="F20" s="38">
        <f>INDEX('1s.bezr.Pol'!B3:G19,MATCH(17,B4:B20,0),4)</f>
        <v>-0.19999999999999929</v>
      </c>
      <c r="G20" s="18">
        <f>INDEX('1s.bezr.Pol'!B3:G19,MATCH(17,B4:B20,0),5)</f>
        <v>8.8000000000000007</v>
      </c>
      <c r="H20" s="38">
        <f>INDEX('1s.bezr.Pol'!B3:G19,MATCH(17,B4:B20,0),6)</f>
        <v>-0.30000000000000071</v>
      </c>
    </row>
    <row r="21" spans="1:8" x14ac:dyDescent="0.2">
      <c r="B21" s="30" t="str">
        <f>T('1s.bezr.Pol'!B20)</f>
        <v xml:space="preserve">* GUS, Bank Danych Lokalnych </v>
      </c>
    </row>
    <row r="22" spans="1:8" x14ac:dyDescent="0.2">
      <c r="B22" s="47"/>
    </row>
    <row r="23" spans="1:8" x14ac:dyDescent="0.2">
      <c r="B23" s="31"/>
    </row>
  </sheetData>
  <pageMargins left="0" right="0" top="0.31496062992125984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700"/>
    <pageSetUpPr fitToPage="1"/>
  </sheetPr>
  <dimension ref="A1:I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12" customWidth="1"/>
    <col min="2" max="2" width="31.5703125" style="2" customWidth="1"/>
    <col min="3" max="3" width="14.7109375" style="2" customWidth="1"/>
    <col min="4" max="4" width="16" style="2" customWidth="1"/>
    <col min="5" max="5" width="16.28515625" style="2" customWidth="1"/>
    <col min="6" max="6" width="15.5703125" style="2" customWidth="1"/>
    <col min="7" max="7" width="17.140625" style="2" customWidth="1"/>
    <col min="8" max="8" width="2.42578125" style="2" customWidth="1"/>
    <col min="9" max="9" width="10.140625" style="2" hidden="1" customWidth="1"/>
    <col min="10" max="13" width="0" style="2" hidden="1" customWidth="1"/>
    <col min="14" max="16384" width="9.140625" style="2"/>
  </cols>
  <sheetData>
    <row r="1" spans="1:8" ht="16.5" customHeight="1" x14ac:dyDescent="0.2">
      <c r="B1" s="1" t="s">
        <v>47</v>
      </c>
    </row>
    <row r="2" spans="1:8" ht="71.25" x14ac:dyDescent="0.2">
      <c r="B2" s="33" t="s">
        <v>0</v>
      </c>
      <c r="C2" s="33" t="s">
        <v>67</v>
      </c>
      <c r="D2" s="34" t="s">
        <v>66</v>
      </c>
      <c r="E2" s="33" t="s">
        <v>43</v>
      </c>
      <c r="F2" s="34" t="s">
        <v>68</v>
      </c>
      <c r="G2" s="33" t="s">
        <v>49</v>
      </c>
    </row>
    <row r="3" spans="1:8" ht="15" x14ac:dyDescent="0.2">
      <c r="A3" s="12">
        <v>1</v>
      </c>
      <c r="B3" s="40" t="s">
        <v>1</v>
      </c>
      <c r="C3" s="41">
        <v>5.0999999999999996</v>
      </c>
      <c r="D3" s="42">
        <v>5.3</v>
      </c>
      <c r="E3" s="43">
        <f>($C$3)-$D$3</f>
        <v>-0.20000000000000018</v>
      </c>
      <c r="F3" s="42">
        <v>5.3</v>
      </c>
      <c r="G3" s="41">
        <f>($C$3)-$F$3</f>
        <v>-0.20000000000000018</v>
      </c>
      <c r="H3" s="12"/>
    </row>
    <row r="4" spans="1:8" ht="15" x14ac:dyDescent="0.25">
      <c r="A4" s="12">
        <v>2</v>
      </c>
      <c r="B4" s="44" t="s">
        <v>10</v>
      </c>
      <c r="C4" s="45">
        <v>8.5</v>
      </c>
      <c r="D4" s="42">
        <v>8.6999999999999993</v>
      </c>
      <c r="E4" s="45">
        <f>($C$4)-$D$4</f>
        <v>-0.19999999999999929</v>
      </c>
      <c r="F4" s="42">
        <v>8.8000000000000007</v>
      </c>
      <c r="G4" s="45">
        <f>($C$4)-$F$4</f>
        <v>-0.30000000000000071</v>
      </c>
      <c r="H4" s="12"/>
    </row>
    <row r="5" spans="1:8" x14ac:dyDescent="0.2">
      <c r="A5" s="12">
        <v>3</v>
      </c>
      <c r="B5" s="16" t="s">
        <v>18</v>
      </c>
      <c r="C5" s="17">
        <v>14.8</v>
      </c>
      <c r="D5" s="46">
        <v>15.4</v>
      </c>
      <c r="E5" s="5">
        <f>($C$5)-$D$5</f>
        <v>-0.59999999999999964</v>
      </c>
      <c r="F5" s="46">
        <v>15.5</v>
      </c>
      <c r="G5" s="5">
        <f>($C$5)-$F$5</f>
        <v>-0.69999999999999929</v>
      </c>
      <c r="H5" s="12"/>
    </row>
    <row r="6" spans="1:8" x14ac:dyDescent="0.2">
      <c r="A6" s="12">
        <v>4</v>
      </c>
      <c r="B6" s="16" t="s">
        <v>19</v>
      </c>
      <c r="C6" s="17">
        <v>19.600000000000001</v>
      </c>
      <c r="D6" s="46">
        <v>20.399999999999999</v>
      </c>
      <c r="E6" s="5">
        <f>($C$6)-$D$6</f>
        <v>-0.79999999999999716</v>
      </c>
      <c r="F6" s="46">
        <v>20.6</v>
      </c>
      <c r="G6" s="5">
        <f>($C$6)-$F$6</f>
        <v>-1</v>
      </c>
      <c r="H6" s="12"/>
    </row>
    <row r="7" spans="1:8" x14ac:dyDescent="0.2">
      <c r="A7" s="12">
        <v>5</v>
      </c>
      <c r="B7" s="16" t="s">
        <v>20</v>
      </c>
      <c r="C7" s="17">
        <v>4.5999999999999996</v>
      </c>
      <c r="D7" s="46">
        <v>4.8</v>
      </c>
      <c r="E7" s="5">
        <f>($C$7)-$D$7</f>
        <v>-0.20000000000000018</v>
      </c>
      <c r="F7" s="46">
        <v>4.7</v>
      </c>
      <c r="G7" s="5">
        <f>($C$7)-$F$7</f>
        <v>-0.10000000000000053</v>
      </c>
      <c r="H7" s="12"/>
    </row>
    <row r="8" spans="1:8" x14ac:dyDescent="0.2">
      <c r="A8" s="12">
        <v>6</v>
      </c>
      <c r="B8" s="16" t="s">
        <v>21</v>
      </c>
      <c r="C8" s="17">
        <v>10.5</v>
      </c>
      <c r="D8" s="46">
        <v>10.9</v>
      </c>
      <c r="E8" s="5">
        <f>($C$8)-$D$8</f>
        <v>-0.40000000000000036</v>
      </c>
      <c r="F8" s="46">
        <v>11.1</v>
      </c>
      <c r="G8" s="5">
        <f>($C$8)-$F$8</f>
        <v>-0.59999999999999964</v>
      </c>
      <c r="H8" s="12"/>
    </row>
    <row r="9" spans="1:8" x14ac:dyDescent="0.2">
      <c r="A9" s="12">
        <v>7</v>
      </c>
      <c r="B9" s="16" t="s">
        <v>22</v>
      </c>
      <c r="C9" s="17">
        <v>12.7</v>
      </c>
      <c r="D9" s="46">
        <v>13.3</v>
      </c>
      <c r="E9" s="5">
        <f>($C$9)-$D$9</f>
        <v>-0.60000000000000142</v>
      </c>
      <c r="F9" s="46">
        <v>12.8</v>
      </c>
      <c r="G9" s="5">
        <f>($C$9)-$F$9</f>
        <v>-0.10000000000000142</v>
      </c>
      <c r="H9" s="12"/>
    </row>
    <row r="10" spans="1:8" x14ac:dyDescent="0.2">
      <c r="A10" s="12">
        <v>8</v>
      </c>
      <c r="B10" s="16" t="s">
        <v>23</v>
      </c>
      <c r="C10" s="17">
        <v>7.7</v>
      </c>
      <c r="D10" s="46">
        <v>7.9</v>
      </c>
      <c r="E10" s="5">
        <f>($C$10)-$D$10</f>
        <v>-0.20000000000000018</v>
      </c>
      <c r="F10" s="46">
        <v>8.1999999999999993</v>
      </c>
      <c r="G10" s="5">
        <f>($C$10)-$F$10</f>
        <v>-0.49999999999999911</v>
      </c>
      <c r="H10" s="12"/>
    </row>
    <row r="11" spans="1:8" x14ac:dyDescent="0.2">
      <c r="A11" s="12">
        <v>9</v>
      </c>
      <c r="B11" s="16" t="s">
        <v>24</v>
      </c>
      <c r="C11" s="17">
        <v>8.6</v>
      </c>
      <c r="D11" s="46">
        <v>8.9</v>
      </c>
      <c r="E11" s="5">
        <f>($C$11)-$D$11</f>
        <v>-0.30000000000000071</v>
      </c>
      <c r="F11" s="46">
        <v>8.1999999999999993</v>
      </c>
      <c r="G11" s="5">
        <f>($C$11)-$F$11</f>
        <v>0.40000000000000036</v>
      </c>
      <c r="H11" s="12"/>
    </row>
    <row r="12" spans="1:8" ht="15" x14ac:dyDescent="0.25">
      <c r="A12" s="12">
        <v>10</v>
      </c>
      <c r="B12" s="19" t="s">
        <v>25</v>
      </c>
      <c r="C12" s="20">
        <v>18.399999999999999</v>
      </c>
      <c r="D12" s="42">
        <v>18.899999999999999</v>
      </c>
      <c r="E12" s="21">
        <f>($C$12)-$D$12</f>
        <v>-0.5</v>
      </c>
      <c r="F12" s="42">
        <v>19.100000000000001</v>
      </c>
      <c r="G12" s="21">
        <f>($C$12)-$F$12</f>
        <v>-0.70000000000000284</v>
      </c>
      <c r="H12" s="15"/>
    </row>
    <row r="13" spans="1:8" x14ac:dyDescent="0.2">
      <c r="A13" s="12">
        <v>11</v>
      </c>
      <c r="B13" s="16" t="s">
        <v>26</v>
      </c>
      <c r="C13" s="17">
        <v>14.2</v>
      </c>
      <c r="D13" s="46">
        <v>14.6</v>
      </c>
      <c r="E13" s="5">
        <f>($C$13)-$D$13</f>
        <v>-0.40000000000000036</v>
      </c>
      <c r="F13" s="46">
        <v>14.8</v>
      </c>
      <c r="G13" s="5">
        <f>($C$13)-$F$13</f>
        <v>-0.60000000000000142</v>
      </c>
      <c r="H13" s="12"/>
    </row>
    <row r="14" spans="1:8" x14ac:dyDescent="0.2">
      <c r="A14" s="12">
        <v>12</v>
      </c>
      <c r="B14" s="16" t="s">
        <v>27</v>
      </c>
      <c r="C14" s="17">
        <v>9.5</v>
      </c>
      <c r="D14" s="46">
        <v>10.1</v>
      </c>
      <c r="E14" s="5">
        <f>($C$14)-$D$14</f>
        <v>-0.59999999999999964</v>
      </c>
      <c r="F14" s="46">
        <v>10.1</v>
      </c>
      <c r="G14" s="5">
        <f>($C$14)-$F$14</f>
        <v>-0.59999999999999964</v>
      </c>
      <c r="H14" s="12"/>
    </row>
    <row r="15" spans="1:8" x14ac:dyDescent="0.2">
      <c r="A15" s="12">
        <v>13</v>
      </c>
      <c r="B15" s="16" t="s">
        <v>28</v>
      </c>
      <c r="C15" s="17">
        <v>9.4</v>
      </c>
      <c r="D15" s="46">
        <v>9.8000000000000007</v>
      </c>
      <c r="E15" s="5">
        <f>($C$15)-$D$15</f>
        <v>-0.40000000000000036</v>
      </c>
      <c r="F15" s="46">
        <v>9.8000000000000007</v>
      </c>
      <c r="G15" s="5">
        <f>($C$15)-$F$15</f>
        <v>-0.40000000000000036</v>
      </c>
      <c r="H15" s="12"/>
    </row>
    <row r="16" spans="1:8" x14ac:dyDescent="0.2">
      <c r="A16" s="12">
        <v>14</v>
      </c>
      <c r="B16" s="16" t="s">
        <v>29</v>
      </c>
      <c r="C16" s="17">
        <v>5</v>
      </c>
      <c r="D16" s="46">
        <v>5.0999999999999996</v>
      </c>
      <c r="E16" s="5">
        <f>($C$16)-$D$16</f>
        <v>-9.9999999999999645E-2</v>
      </c>
      <c r="F16" s="46">
        <v>4.7</v>
      </c>
      <c r="G16" s="5">
        <f>($C$16)-$F$16</f>
        <v>0.29999999999999982</v>
      </c>
      <c r="H16" s="12"/>
    </row>
    <row r="17" spans="1:8" x14ac:dyDescent="0.2">
      <c r="A17" s="12">
        <v>15</v>
      </c>
      <c r="B17" s="16" t="s">
        <v>30</v>
      </c>
      <c r="C17" s="17">
        <v>15.8</v>
      </c>
      <c r="D17" s="46">
        <v>16</v>
      </c>
      <c r="E17" s="5">
        <f>($C$17)-$D$17</f>
        <v>-0.19999999999999929</v>
      </c>
      <c r="F17" s="46">
        <v>16.600000000000001</v>
      </c>
      <c r="G17" s="5">
        <f>($C$17)-$F$17</f>
        <v>-0.80000000000000071</v>
      </c>
      <c r="H17" s="12"/>
    </row>
    <row r="18" spans="1:8" x14ac:dyDescent="0.2">
      <c r="A18" s="12">
        <v>16</v>
      </c>
      <c r="B18" s="16" t="s">
        <v>31</v>
      </c>
      <c r="C18" s="17">
        <v>14.7</v>
      </c>
      <c r="D18" s="46">
        <v>15.4</v>
      </c>
      <c r="E18" s="5">
        <f>($C$18)-$D$18</f>
        <v>-0.70000000000000107</v>
      </c>
      <c r="F18" s="46">
        <v>15.5</v>
      </c>
      <c r="G18" s="5">
        <f>($C$18)-$F$18</f>
        <v>-0.80000000000000071</v>
      </c>
      <c r="H18" s="12"/>
    </row>
    <row r="19" spans="1:8" x14ac:dyDescent="0.2">
      <c r="A19" s="12">
        <v>17</v>
      </c>
      <c r="B19" s="16" t="s">
        <v>32</v>
      </c>
      <c r="C19" s="17">
        <v>12.7</v>
      </c>
      <c r="D19" s="46">
        <v>12.9</v>
      </c>
      <c r="E19" s="5">
        <f>($C$19)-$D$19</f>
        <v>-0.20000000000000107</v>
      </c>
      <c r="F19" s="46">
        <v>13.9</v>
      </c>
      <c r="G19" s="5">
        <f>($C$19)-$F$19</f>
        <v>-1.2000000000000011</v>
      </c>
      <c r="H19" s="12"/>
    </row>
    <row r="20" spans="1:8" x14ac:dyDescent="0.2">
      <c r="A20" s="12">
        <v>18</v>
      </c>
      <c r="B20" s="16" t="s">
        <v>33</v>
      </c>
      <c r="C20" s="17">
        <v>10.9</v>
      </c>
      <c r="D20" s="46">
        <v>10.5</v>
      </c>
      <c r="E20" s="5">
        <f>($C$20)-$D$20</f>
        <v>0.40000000000000036</v>
      </c>
      <c r="F20" s="46">
        <v>10.7</v>
      </c>
      <c r="G20" s="5">
        <f>($C$20)-$F$20</f>
        <v>0.20000000000000107</v>
      </c>
      <c r="H20" s="12"/>
    </row>
    <row r="21" spans="1:8" x14ac:dyDescent="0.2">
      <c r="A21" s="12">
        <v>19</v>
      </c>
      <c r="B21" s="16" t="s">
        <v>34</v>
      </c>
      <c r="C21" s="17">
        <v>7.5</v>
      </c>
      <c r="D21" s="46">
        <v>7.6</v>
      </c>
      <c r="E21" s="5">
        <f>($C$21)-$D$21</f>
        <v>-9.9999999999999645E-2</v>
      </c>
      <c r="F21" s="46">
        <v>7.9</v>
      </c>
      <c r="G21" s="5">
        <f>($C$21)-$F$21</f>
        <v>-0.40000000000000036</v>
      </c>
      <c r="H21" s="12"/>
    </row>
    <row r="22" spans="1:8" x14ac:dyDescent="0.2">
      <c r="A22" s="12">
        <v>20</v>
      </c>
      <c r="B22" s="16" t="s">
        <v>35</v>
      </c>
      <c r="C22" s="17">
        <v>8.1</v>
      </c>
      <c r="D22" s="46">
        <v>8.5</v>
      </c>
      <c r="E22" s="5">
        <f>($C$22)-$D$22</f>
        <v>-0.40000000000000036</v>
      </c>
      <c r="F22" s="46">
        <v>8.1999999999999993</v>
      </c>
      <c r="G22" s="5">
        <f>($C$22)-$F$22</f>
        <v>-9.9999999999999645E-2</v>
      </c>
      <c r="H22" s="12"/>
    </row>
    <row r="23" spans="1:8" x14ac:dyDescent="0.2">
      <c r="A23" s="12">
        <v>21</v>
      </c>
      <c r="B23" s="16" t="s">
        <v>36</v>
      </c>
      <c r="C23" s="17">
        <v>4.8</v>
      </c>
      <c r="D23" s="46">
        <v>5</v>
      </c>
      <c r="E23" s="5">
        <f>($C$23)-$D$23</f>
        <v>-0.20000000000000018</v>
      </c>
      <c r="F23" s="46">
        <v>4.9000000000000004</v>
      </c>
      <c r="G23" s="5">
        <f>($C$23)-$F$23</f>
        <v>-0.10000000000000053</v>
      </c>
      <c r="H23" s="12"/>
    </row>
    <row r="24" spans="1:8" x14ac:dyDescent="0.2">
      <c r="A24" s="12">
        <v>22</v>
      </c>
      <c r="B24" s="16" t="s">
        <v>37</v>
      </c>
      <c r="C24" s="17">
        <v>16.8</v>
      </c>
      <c r="D24" s="46">
        <v>17.100000000000001</v>
      </c>
      <c r="E24" s="5">
        <f>($C$24)-$D$24</f>
        <v>-0.30000000000000071</v>
      </c>
      <c r="F24" s="46">
        <v>17.5</v>
      </c>
      <c r="G24" s="5">
        <f>($C$24)-$F$24</f>
        <v>-0.69999999999999929</v>
      </c>
      <c r="H24" s="12"/>
    </row>
    <row r="25" spans="1:8" x14ac:dyDescent="0.2">
      <c r="A25" s="12">
        <v>23</v>
      </c>
      <c r="B25" s="16" t="s">
        <v>38</v>
      </c>
      <c r="C25" s="17">
        <v>7.2</v>
      </c>
      <c r="D25" s="46">
        <v>7.6</v>
      </c>
      <c r="E25" s="5">
        <f>($C$25)-$D$25</f>
        <v>-0.39999999999999947</v>
      </c>
      <c r="F25" s="46">
        <v>7.6</v>
      </c>
      <c r="G25" s="5">
        <f>($C$25)-$F$25</f>
        <v>-0.39999999999999947</v>
      </c>
      <c r="H25" s="12"/>
    </row>
    <row r="26" spans="1:8" x14ac:dyDescent="0.2">
      <c r="A26" s="12">
        <v>24</v>
      </c>
      <c r="B26" s="16" t="s">
        <v>39</v>
      </c>
      <c r="C26" s="22">
        <v>3.2</v>
      </c>
      <c r="D26" s="46">
        <v>3.2</v>
      </c>
      <c r="E26" s="5">
        <f>($C$26)-$D$26</f>
        <v>0</v>
      </c>
      <c r="F26" s="46">
        <v>2.8</v>
      </c>
      <c r="G26" s="5">
        <f>($C$26)-$F$26</f>
        <v>0.40000000000000036</v>
      </c>
      <c r="H26" s="12"/>
    </row>
    <row r="27" spans="1:8" x14ac:dyDescent="0.2">
      <c r="A27" s="12">
        <v>25</v>
      </c>
      <c r="B27" s="16" t="s">
        <v>40</v>
      </c>
      <c r="C27" s="17">
        <v>9.8000000000000007</v>
      </c>
      <c r="D27" s="46">
        <v>10</v>
      </c>
      <c r="E27" s="5">
        <f>($C$27)-$D$27</f>
        <v>-0.19999999999999929</v>
      </c>
      <c r="F27" s="46">
        <v>10.5</v>
      </c>
      <c r="G27" s="5">
        <f>($C$27)-$F$27</f>
        <v>-0.69999999999999929</v>
      </c>
      <c r="H27" s="12"/>
    </row>
    <row r="28" spans="1:8" x14ac:dyDescent="0.2">
      <c r="A28" s="12">
        <v>26</v>
      </c>
      <c r="B28" s="16" t="s">
        <v>41</v>
      </c>
      <c r="C28" s="17">
        <v>4.0999999999999996</v>
      </c>
      <c r="D28" s="46">
        <v>4.2</v>
      </c>
      <c r="E28" s="5">
        <f>($C$28)-$D$28</f>
        <v>-0.10000000000000053</v>
      </c>
      <c r="F28" s="46">
        <v>4.5</v>
      </c>
      <c r="G28" s="5">
        <f>($C$28)-$F$28</f>
        <v>-0.40000000000000036</v>
      </c>
      <c r="H28" s="12"/>
    </row>
    <row r="29" spans="1:8" x14ac:dyDescent="0.2">
      <c r="A29" s="12">
        <v>27</v>
      </c>
      <c r="B29" s="16" t="s">
        <v>42</v>
      </c>
      <c r="C29" s="17">
        <v>7.1</v>
      </c>
      <c r="D29" s="48">
        <v>7.3</v>
      </c>
      <c r="E29" s="5">
        <f>($C$29)-$D$29</f>
        <v>-0.20000000000000018</v>
      </c>
      <c r="F29" s="46">
        <v>7.2</v>
      </c>
      <c r="G29" s="5">
        <f>($C$29)-$F$29</f>
        <v>-0.10000000000000053</v>
      </c>
      <c r="H29" s="12"/>
    </row>
    <row r="30" spans="1:8" x14ac:dyDescent="0.2">
      <c r="B30" s="30" t="s">
        <v>51</v>
      </c>
      <c r="E30" s="15"/>
    </row>
    <row r="31" spans="1:8" x14ac:dyDescent="0.2">
      <c r="B31" s="4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12" customWidth="1"/>
    <col min="2" max="2" width="7" style="2" customWidth="1"/>
    <col min="3" max="3" width="31.85546875" style="2" customWidth="1"/>
    <col min="4" max="4" width="15.5703125" style="2" customWidth="1"/>
    <col min="5" max="5" width="15.28515625" style="2" customWidth="1"/>
    <col min="6" max="6" width="17.28515625" style="2" customWidth="1"/>
    <col min="7" max="7" width="15.7109375" style="2" customWidth="1"/>
    <col min="8" max="8" width="18.28515625" style="2" customWidth="1"/>
    <col min="9" max="17" width="9.140625" style="2"/>
    <col min="18" max="18" width="3.5703125" style="2" customWidth="1"/>
    <col min="19" max="16384" width="9.140625" style="2"/>
  </cols>
  <sheetData>
    <row r="1" spans="1:8" x14ac:dyDescent="0.2">
      <c r="B1" s="1" t="s">
        <v>47</v>
      </c>
    </row>
    <row r="2" spans="1:8" ht="15" x14ac:dyDescent="0.2">
      <c r="C2" s="7"/>
      <c r="D2" s="8"/>
    </row>
    <row r="3" spans="1:8" ht="57" x14ac:dyDescent="0.2">
      <c r="B3" s="35" t="s">
        <v>45</v>
      </c>
      <c r="C3" s="32" t="str">
        <f>T('2s.bezr.pow.'!B2)</f>
        <v>powiaty</v>
      </c>
      <c r="D3" s="32" t="str">
        <f>T('2s.bezr.pow.'!C2)</f>
        <v>Stopa bezrobocia stan na 30-04-'24 r. w proc.*</v>
      </c>
      <c r="E3" s="32" t="str">
        <f>T('2s.bezr.pow.'!D2)</f>
        <v>Stopa bezrobocia stan na 31-03-'24 r. w proc. *</v>
      </c>
      <c r="F3" s="32" t="str">
        <f>T('2s.bezr.pow.'!E2)</f>
        <v>wzrost/spadek do poprzedniego miesiąca (pkt. proc.)</v>
      </c>
      <c r="G3" s="53" t="str">
        <f>T('2s.bezr.pow.'!F2)</f>
        <v>Stopa bezrobocia stan na 30-04-'23 r. w proc.*</v>
      </c>
      <c r="H3" s="32" t="str">
        <f>T('2s.bezr.pow.'!G2)</f>
        <v>wzrost/spadek do początku roku (pkt. proc.)</v>
      </c>
    </row>
    <row r="4" spans="1:8" x14ac:dyDescent="0.2">
      <c r="A4" s="12">
        <v>1</v>
      </c>
      <c r="B4" s="4">
        <f>RANK('2s.bezr.pow.'!C3,'2s.bezr.pow.'!$C$3:'2s.bezr.pow.'!$C$29,1)+COUNTIF('2s.bezr.pow.'!$C$3:'2s.bezr.pow.'!C3,'2s.bezr.pow.'!C3)-1</f>
        <v>6</v>
      </c>
      <c r="C4" s="23" t="str">
        <f>INDEX('2s.bezr.pow.'!B3:G29,MATCH(1,B4:B30,0),1)</f>
        <v>Powiat m.Krosno</v>
      </c>
      <c r="D4" s="15">
        <f>INDEX('2s.bezr.pow.'!B3:G29,MATCH(1,B4:B30,0),2)</f>
        <v>3.2</v>
      </c>
      <c r="E4" s="46">
        <f>INDEX('2s.bezr.pow.'!B3:G29,MATCH(1,B4:B30,0),3)</f>
        <v>3.2</v>
      </c>
      <c r="F4" s="11">
        <f>INDEX('2s.bezr.pow.'!B3:G29,MATCH(1,B4:B30,0),4)</f>
        <v>0</v>
      </c>
      <c r="G4" s="46">
        <f>INDEX('2s.bezr.pow.'!B3:G29,MATCH(1,B4:B30,0),5)</f>
        <v>2.8</v>
      </c>
      <c r="H4" s="11">
        <f>INDEX('2s.bezr.pow.'!B3:G29,MATCH(1,B4:B30,0),6)</f>
        <v>0.40000000000000036</v>
      </c>
    </row>
    <row r="5" spans="1:8" x14ac:dyDescent="0.2">
      <c r="A5" s="12">
        <v>2</v>
      </c>
      <c r="B5" s="4">
        <f>RANK('2s.bezr.pow.'!C4,'2s.bezr.pow.'!$C$3:'2s.bezr.pow.'!$C$29,1)+COUNTIF('2s.bezr.pow.'!$C$3:'2s.bezr.pow.'!C4,'2s.bezr.pow.'!C4)-1</f>
        <v>12</v>
      </c>
      <c r="C5" s="3" t="str">
        <f>INDEX('2s.bezr.pow.'!B3:G29,MATCH(2,B4:B30,0),1)</f>
        <v>Powiat m.Rzeszów</v>
      </c>
      <c r="D5" s="5">
        <f>INDEX('2s.bezr.pow.'!B3:G29,MATCH(2,B4:B30,0),2)</f>
        <v>4.0999999999999996</v>
      </c>
      <c r="E5" s="46">
        <f>INDEX('2s.bezr.pow.'!B3:G29,MATCH(2,B4:B30,0),3)</f>
        <v>4.2</v>
      </c>
      <c r="F5" s="11">
        <f>INDEX('2s.bezr.pow.'!B3:G29,MATCH(2,B4:B30,0),4)</f>
        <v>-0.10000000000000053</v>
      </c>
      <c r="G5" s="46">
        <f>INDEX('2s.bezr.pow.'!B3:G29,MATCH(2,B4:B30,0),5)</f>
        <v>4.5</v>
      </c>
      <c r="H5" s="11">
        <f>INDEX('2s.bezr.pow.'!B3:G29,MATCH(2,B4:B30,0),6)</f>
        <v>-0.40000000000000036</v>
      </c>
    </row>
    <row r="6" spans="1:8" x14ac:dyDescent="0.2">
      <c r="A6" s="12">
        <v>3</v>
      </c>
      <c r="B6" s="4">
        <f>RANK('2s.bezr.pow.'!C5,'2s.bezr.pow.'!$C$3:'2s.bezr.pow.'!$C$29,1)+COUNTIF('2s.bezr.pow.'!$C$3:'2s.bezr.pow.'!C5,'2s.bezr.pow.'!C5)-1</f>
        <v>23</v>
      </c>
      <c r="C6" s="3" t="str">
        <f>INDEX('2s.bezr.pow.'!B3:G29,MATCH(3,B4:B30,0),1)</f>
        <v>Powiat dębicki</v>
      </c>
      <c r="D6" s="5">
        <f>INDEX('2s.bezr.pow.'!B3:G29,MATCH(3,B4:B30,0),2)</f>
        <v>4.5999999999999996</v>
      </c>
      <c r="E6" s="46">
        <f>INDEX('2s.bezr.pow.'!B3:G29,MATCH(3,B4:B30,0),3)</f>
        <v>4.8</v>
      </c>
      <c r="F6" s="11">
        <f>INDEX('2s.bezr.pow.'!B3:G29,MATCH(3,B4:B30,0),4)</f>
        <v>-0.20000000000000018</v>
      </c>
      <c r="G6" s="46">
        <f>INDEX('2s.bezr.pow.'!B3:G29,MATCH(3,B4:B30,0),5)</f>
        <v>4.7</v>
      </c>
      <c r="H6" s="11">
        <f>INDEX('2s.bezr.pow.'!B3:G29,MATCH(3,B4:B30,0),6)</f>
        <v>-0.10000000000000053</v>
      </c>
    </row>
    <row r="7" spans="1:8" x14ac:dyDescent="0.2">
      <c r="A7" s="12">
        <v>4</v>
      </c>
      <c r="B7" s="4">
        <f>RANK('2s.bezr.pow.'!C6,'2s.bezr.pow.'!$C$3:'2s.bezr.pow.'!$C$29,1)+COUNTIF('2s.bezr.pow.'!$C$3:'2s.bezr.pow.'!C6,'2s.bezr.pow.'!C6)-1</f>
        <v>27</v>
      </c>
      <c r="C7" s="3" t="str">
        <f>INDEX('2s.bezr.pow.'!B3:G29,MATCH(4,B4:B30,0),1)</f>
        <v>Powiat stalowowolski</v>
      </c>
      <c r="D7" s="5">
        <f>INDEX('2s.bezr.pow.'!B3:G29,MATCH(4,B4:B30,0),2)</f>
        <v>4.8</v>
      </c>
      <c r="E7" s="46">
        <f>INDEX('2s.bezr.pow.'!B3:G29,MATCH(4,B4:B30,0),3)</f>
        <v>5</v>
      </c>
      <c r="F7" s="11">
        <f>INDEX('2s.bezr.pow.'!B3:G29,MATCH(4,B4:B30,0),4)</f>
        <v>-0.20000000000000018</v>
      </c>
      <c r="G7" s="46">
        <f>INDEX('2s.bezr.pow.'!B3:G29,MATCH(4,B4:B30,0),5)</f>
        <v>4.9000000000000004</v>
      </c>
      <c r="H7" s="11">
        <f>INDEX('2s.bezr.pow.'!B3:G29,MATCH(4,B4:B30,0),6)</f>
        <v>-0.10000000000000053</v>
      </c>
    </row>
    <row r="8" spans="1:8" x14ac:dyDescent="0.2">
      <c r="A8" s="12">
        <v>5</v>
      </c>
      <c r="B8" s="4">
        <f>RANK('2s.bezr.pow.'!C7,'2s.bezr.pow.'!$C$3:'2s.bezr.pow.'!$C$29,1)+COUNTIF('2s.bezr.pow.'!$C$3:'2s.bezr.pow.'!C7,'2s.bezr.pow.'!C7)-1</f>
        <v>3</v>
      </c>
      <c r="C8" s="3" t="str">
        <f>INDEX('2s.bezr.pow.'!B3:G29,MATCH(5,B4:B30,0),1)</f>
        <v>Powiat mielecki</v>
      </c>
      <c r="D8" s="5">
        <f>INDEX('2s.bezr.pow.'!B3:G29,MATCH(5,B4:B30,0),2)</f>
        <v>5</v>
      </c>
      <c r="E8" s="46">
        <f>INDEX('2s.bezr.pow.'!B3:G29,MATCH(5,B4:B30,0),3)</f>
        <v>5.0999999999999996</v>
      </c>
      <c r="F8" s="11">
        <f>INDEX('2s.bezr.pow.'!B3:G29,MATCH(5,B4:B30,0),4)</f>
        <v>-9.9999999999999645E-2</v>
      </c>
      <c r="G8" s="46">
        <f>INDEX('2s.bezr.pow.'!B3:G29,MATCH(5,B4:B30,0),5)</f>
        <v>4.7</v>
      </c>
      <c r="H8" s="11">
        <f>INDEX('2s.bezr.pow.'!B3:G29,MATCH(5,B4:B30,0),6)</f>
        <v>0.29999999999999982</v>
      </c>
    </row>
    <row r="9" spans="1:8" x14ac:dyDescent="0.2">
      <c r="A9" s="12">
        <v>6</v>
      </c>
      <c r="B9" s="4">
        <f>RANK('2s.bezr.pow.'!C8,'2s.bezr.pow.'!$C$3:'2s.bezr.pow.'!$C$29,1)+COUNTIF('2s.bezr.pow.'!$C$3:'2s.bezr.pow.'!C8,'2s.bezr.pow.'!C8)-1</f>
        <v>17</v>
      </c>
      <c r="C9" s="3" t="str">
        <f>INDEX('2s.bezr.pow.'!B3:G29,MATCH(6,B4:B30,0),1)</f>
        <v>POLSKA</v>
      </c>
      <c r="D9" s="5">
        <f>INDEX('2s.bezr.pow.'!B3:G29,MATCH(6,B4:B30,0),2)</f>
        <v>5.0999999999999996</v>
      </c>
      <c r="E9" s="46">
        <f>INDEX('2s.bezr.pow.'!B3:G29,MATCH(6,B4:B30,0),3)</f>
        <v>5.3</v>
      </c>
      <c r="F9" s="11">
        <f>INDEX('2s.bezr.pow.'!B3:G29,MATCH(6,B4:B30,0),4)</f>
        <v>-0.20000000000000018</v>
      </c>
      <c r="G9" s="46">
        <f>INDEX('2s.bezr.pow.'!B3:G29,MATCH(6,B4:B30,0),5)</f>
        <v>5.3</v>
      </c>
      <c r="H9" s="11">
        <f>INDEX('2s.bezr.pow.'!B3:G29,MATCH(6,B4:B30,0),6)</f>
        <v>-0.20000000000000018</v>
      </c>
    </row>
    <row r="10" spans="1:8" x14ac:dyDescent="0.2">
      <c r="A10" s="12">
        <v>7</v>
      </c>
      <c r="B10" s="4">
        <f>RANK('2s.bezr.pow.'!C9,'2s.bezr.pow.'!$C$3:'2s.bezr.pow.'!$C$29,1)+COUNTIF('2s.bezr.pow.'!$C$3:'2s.bezr.pow.'!C9,'2s.bezr.pow.'!C9)-1</f>
        <v>19</v>
      </c>
      <c r="C10" s="6" t="str">
        <f>INDEX('2s.bezr.pow.'!B3:G29,MATCH(7,B4:B30,0),1)</f>
        <v>Powiat m.Tarnobrzeg</v>
      </c>
      <c r="D10" s="5">
        <f>INDEX('2s.bezr.pow.'!B3:G29,MATCH(7,B4:B30,0),2)</f>
        <v>7.1</v>
      </c>
      <c r="E10" s="46">
        <f>INDEX('2s.bezr.pow.'!B3:G29,MATCH(7,B4:B30,0),3)</f>
        <v>7.3</v>
      </c>
      <c r="F10" s="11">
        <f>INDEX('2s.bezr.pow.'!B3:G29,MATCH(7,B4:B30,0),4)</f>
        <v>-0.20000000000000018</v>
      </c>
      <c r="G10" s="46">
        <f>INDEX('2s.bezr.pow.'!B3:G29,MATCH(7,B4:B30,0),5)</f>
        <v>7.2</v>
      </c>
      <c r="H10" s="11">
        <f>INDEX('2s.bezr.pow.'!B3:G29,MATCH(7,B4:B30,0),6)</f>
        <v>-0.10000000000000053</v>
      </c>
    </row>
    <row r="11" spans="1:8" x14ac:dyDescent="0.2">
      <c r="A11" s="12">
        <v>8</v>
      </c>
      <c r="B11" s="4">
        <f>RANK('2s.bezr.pow.'!C10,'2s.bezr.pow.'!$C$3:'2s.bezr.pow.'!$C$29,1)+COUNTIF('2s.bezr.pow.'!$C$3:'2s.bezr.pow.'!C10,'2s.bezr.pow.'!C10)-1</f>
        <v>10</v>
      </c>
      <c r="C11" s="3" t="str">
        <f>INDEX('2s.bezr.pow.'!B3:G29,MATCH(8,B4:B30,0),1)</f>
        <v>Powiat tarnobrzeski</v>
      </c>
      <c r="D11" s="5">
        <f>INDEX('2s.bezr.pow.'!B3:G29,MATCH(8,B4:B30,0),2)</f>
        <v>7.2</v>
      </c>
      <c r="E11" s="46">
        <f>INDEX('2s.bezr.pow.'!B3:G29,MATCH(8,B4:B30,0),3)</f>
        <v>7.6</v>
      </c>
      <c r="F11" s="11">
        <f>INDEX('2s.bezr.pow.'!B3:G29,MATCH(8,B4:B30,0),4)</f>
        <v>-0.39999999999999947</v>
      </c>
      <c r="G11" s="46">
        <f>INDEX('2s.bezr.pow.'!B3:G29,MATCH(8,B4:B30,0),5)</f>
        <v>7.6</v>
      </c>
      <c r="H11" s="11">
        <f>INDEX('2s.bezr.pow.'!B3:G29,MATCH(8,B4:B30,0),6)</f>
        <v>-0.39999999999999947</v>
      </c>
    </row>
    <row r="12" spans="1:8" x14ac:dyDescent="0.2">
      <c r="A12" s="12">
        <v>9</v>
      </c>
      <c r="B12" s="4">
        <f>RANK('2s.bezr.pow.'!C11,'2s.bezr.pow.'!$C$3:'2s.bezr.pow.'!$C$29,1)+COUNTIF('2s.bezr.pow.'!$C$3:'2s.bezr.pow.'!C11,'2s.bezr.pow.'!C11)-1</f>
        <v>13</v>
      </c>
      <c r="C12" s="3" t="str">
        <f>INDEX('2s.bezr.pow.'!B3:G29,MATCH(9,B4:B30,0),1)</f>
        <v>Powiat rzeszowski</v>
      </c>
      <c r="D12" s="5">
        <f>INDEX('2s.bezr.pow.'!B3:G29,MATCH(9,B4:B30,0),2)</f>
        <v>7.5</v>
      </c>
      <c r="E12" s="46">
        <f>INDEX('2s.bezr.pow.'!B3:G29,MATCH(9,B4:B30,0),3)</f>
        <v>7.6</v>
      </c>
      <c r="F12" s="11">
        <f>INDEX('2s.bezr.pow.'!B3:G29,MATCH(9,B4:B30,0),4)</f>
        <v>-9.9999999999999645E-2</v>
      </c>
      <c r="G12" s="46">
        <f>INDEX('2s.bezr.pow.'!B3:G29,MATCH(9,B4:B30,0),5)</f>
        <v>7.9</v>
      </c>
      <c r="H12" s="11">
        <f>INDEX('2s.bezr.pow.'!B3:G29,MATCH(9,B4:B30,0),6)</f>
        <v>-0.40000000000000036</v>
      </c>
    </row>
    <row r="13" spans="1:8" x14ac:dyDescent="0.2">
      <c r="A13" s="12">
        <v>10</v>
      </c>
      <c r="B13" s="4">
        <f>RANK('2s.bezr.pow.'!C12,'2s.bezr.pow.'!$C$3:'2s.bezr.pow.'!$C$29,1)+COUNTIF('2s.bezr.pow.'!$C$3:'2s.bezr.pow.'!C12,'2s.bezr.pow.'!C12)-1</f>
        <v>26</v>
      </c>
      <c r="C13" s="3" t="str">
        <f>INDEX('2s.bezr.pow.'!B3:G29,MATCH(10,B4:B30,0),1)</f>
        <v>Powiat kolbuszowski</v>
      </c>
      <c r="D13" s="5">
        <f>INDEX('2s.bezr.pow.'!B3:G29,MATCH(10,B4:B30,0),2)</f>
        <v>7.7</v>
      </c>
      <c r="E13" s="46">
        <f>INDEX('2s.bezr.pow.'!B3:G29,MATCH(10,B4:B30,0),3)</f>
        <v>7.9</v>
      </c>
      <c r="F13" s="11">
        <f>INDEX('2s.bezr.pow.'!B3:G29,MATCH(10,B4:B30,0),4)</f>
        <v>-0.20000000000000018</v>
      </c>
      <c r="G13" s="46">
        <f>INDEX('2s.bezr.pow.'!B3:G29,MATCH(10,B4:B30,0),5)</f>
        <v>8.1999999999999993</v>
      </c>
      <c r="H13" s="11">
        <f>INDEX('2s.bezr.pow.'!B3:G29,MATCH(10,B4:B30,0),6)</f>
        <v>-0.49999999999999911</v>
      </c>
    </row>
    <row r="14" spans="1:8" x14ac:dyDescent="0.2">
      <c r="A14" s="12">
        <v>11</v>
      </c>
      <c r="B14" s="4">
        <f>RANK('2s.bezr.pow.'!C13,'2s.bezr.pow.'!$C$3:'2s.bezr.pow.'!$C$29,1)+COUNTIF('2s.bezr.pow.'!$C$3:'2s.bezr.pow.'!C13,'2s.bezr.pow.'!C13)-1</f>
        <v>21</v>
      </c>
      <c r="C14" s="3" t="str">
        <f>INDEX('2s.bezr.pow.'!B3:G29,MATCH(11,B4:B30,0),1)</f>
        <v>Powiat sanocki</v>
      </c>
      <c r="D14" s="5">
        <f>INDEX('2s.bezr.pow.'!B3:G29,MATCH(11,B4:B30,0),2)</f>
        <v>8.1</v>
      </c>
      <c r="E14" s="46">
        <f>INDEX('2s.bezr.pow.'!B3:G29,MATCH(11,B4:B30,0),3)</f>
        <v>8.5</v>
      </c>
      <c r="F14" s="11">
        <f>INDEX('2s.bezr.pow.'!B3:G29,MATCH(11,B4:B30,0),4)</f>
        <v>-0.40000000000000036</v>
      </c>
      <c r="G14" s="46">
        <f>INDEX('2s.bezr.pow.'!B3:G29,MATCH(11,B4:B30,0),5)</f>
        <v>8.1999999999999993</v>
      </c>
      <c r="H14" s="11">
        <f>INDEX('2s.bezr.pow.'!B3:G29,MATCH(11,B4:B30,0),6)</f>
        <v>-9.9999999999999645E-2</v>
      </c>
    </row>
    <row r="15" spans="1:8" x14ac:dyDescent="0.2">
      <c r="A15" s="12">
        <v>12</v>
      </c>
      <c r="B15" s="4">
        <f>RANK('2s.bezr.pow.'!C14,'2s.bezr.pow.'!$C$3:'2s.bezr.pow.'!$C$29,1)+COUNTIF('2s.bezr.pow.'!$C$3:'2s.bezr.pow.'!C14,'2s.bezr.pow.'!C14)-1</f>
        <v>15</v>
      </c>
      <c r="C15" s="24" t="str">
        <f>INDEX('2s.bezr.pow.'!B3:G29,MATCH(12,B4:B30,0),1)</f>
        <v>PODKARPACKIE</v>
      </c>
      <c r="D15" s="5">
        <f>INDEX('2s.bezr.pow.'!B3:G29,MATCH(12,B4:B30,0),2)</f>
        <v>8.5</v>
      </c>
      <c r="E15" s="46">
        <f>INDEX('2s.bezr.pow.'!B3:G29,MATCH(12,B4:B30,0),3)</f>
        <v>8.6999999999999993</v>
      </c>
      <c r="F15" s="11">
        <f>INDEX('2s.bezr.pow.'!B3:G29,MATCH(12,B4:B30,0),4)</f>
        <v>-0.19999999999999929</v>
      </c>
      <c r="G15" s="46">
        <f>INDEX('2s.bezr.pow.'!B3:G29,MATCH(12,B4:B30,0),5)</f>
        <v>8.8000000000000007</v>
      </c>
      <c r="H15" s="11">
        <f>INDEX('2s.bezr.pow.'!B3:G29,MATCH(12,B4:B30,0),6)</f>
        <v>-0.30000000000000071</v>
      </c>
    </row>
    <row r="16" spans="1:8" x14ac:dyDescent="0.2">
      <c r="A16" s="12">
        <v>13</v>
      </c>
      <c r="B16" s="4">
        <f>RANK('2s.bezr.pow.'!C15,'2s.bezr.pow.'!$C$3:'2s.bezr.pow.'!$C$29,1)+COUNTIF('2s.bezr.pow.'!$C$3:'2s.bezr.pow.'!C15,'2s.bezr.pow.'!C15)-1</f>
        <v>14</v>
      </c>
      <c r="C16" s="3" t="str">
        <f>INDEX('2s.bezr.pow.'!B3:G29,MATCH(13,B4:B30,0),1)</f>
        <v>Powiat krośnieński</v>
      </c>
      <c r="D16" s="5">
        <f>INDEX('2s.bezr.pow.'!B3:G29,MATCH(13,B4:B30,0),2)</f>
        <v>8.6</v>
      </c>
      <c r="E16" s="46">
        <f>INDEX('2s.bezr.pow.'!B3:G29,MATCH(13,B4:B30,0),3)</f>
        <v>8.9</v>
      </c>
      <c r="F16" s="11">
        <f>INDEX('2s.bezr.pow.'!B3:G29,MATCH(13,B4:B30,0),4)</f>
        <v>-0.30000000000000071</v>
      </c>
      <c r="G16" s="46">
        <f>INDEX('2s.bezr.pow.'!B3:G29,MATCH(13,B4:B30,0),5)</f>
        <v>8.1999999999999993</v>
      </c>
      <c r="H16" s="11">
        <f>INDEX('2s.bezr.pow.'!B3:G29,MATCH(13,B4:B30,0),6)</f>
        <v>0.40000000000000036</v>
      </c>
    </row>
    <row r="17" spans="1:8" x14ac:dyDescent="0.2">
      <c r="A17" s="12">
        <v>14</v>
      </c>
      <c r="B17" s="4">
        <f>RANK('2s.bezr.pow.'!C16,'2s.bezr.pow.'!$C$3:'2s.bezr.pow.'!$C$29,1)+COUNTIF('2s.bezr.pow.'!$C$3:'2s.bezr.pow.'!C16,'2s.bezr.pow.'!C16)-1</f>
        <v>5</v>
      </c>
      <c r="C17" s="3" t="str">
        <f>INDEX('2s.bezr.pow.'!B3:G29,MATCH(14,B4:B30,0),1)</f>
        <v>Powiat łańcucki</v>
      </c>
      <c r="D17" s="5">
        <f>INDEX('2s.bezr.pow.'!B3:G29,MATCH(14,B4:B30,0),2)</f>
        <v>9.4</v>
      </c>
      <c r="E17" s="46">
        <f>INDEX('2s.bezr.pow.'!B3:G29,MATCH(14,B4:B30,0),3)</f>
        <v>9.8000000000000007</v>
      </c>
      <c r="F17" s="11">
        <f>INDEX('2s.bezr.pow.'!B3:G29,MATCH(14,B4:B30,0),4)</f>
        <v>-0.40000000000000036</v>
      </c>
      <c r="G17" s="46">
        <f>INDEX('2s.bezr.pow.'!B3:G29,MATCH(14,B4:B30,0),5)</f>
        <v>9.8000000000000007</v>
      </c>
      <c r="H17" s="11">
        <f>INDEX('2s.bezr.pow.'!B3:G29,MATCH(14,B4:B30,0),6)</f>
        <v>-0.40000000000000036</v>
      </c>
    </row>
    <row r="18" spans="1:8" x14ac:dyDescent="0.2">
      <c r="A18" s="12">
        <v>15</v>
      </c>
      <c r="B18" s="4">
        <f>RANK('2s.bezr.pow.'!C17,'2s.bezr.pow.'!$C$3:'2s.bezr.pow.'!$C$29,1)+COUNTIF('2s.bezr.pow.'!$C$3:'2s.bezr.pow.'!C17,'2s.bezr.pow.'!C17)-1</f>
        <v>24</v>
      </c>
      <c r="C18" s="3" t="str">
        <f>INDEX('2s.bezr.pow.'!B3:G29,MATCH(15,B4:B30,0),1)</f>
        <v>Powiat lubaczowski</v>
      </c>
      <c r="D18" s="5">
        <f>INDEX('2s.bezr.pow.'!B3:G29,MATCH(15,B4:B30,0),2)</f>
        <v>9.5</v>
      </c>
      <c r="E18" s="46">
        <f>INDEX('2s.bezr.pow.'!B3:G29,MATCH(15,B4:B30,0),3)</f>
        <v>10.1</v>
      </c>
      <c r="F18" s="11">
        <f>INDEX('2s.bezr.pow.'!B3:G29,MATCH(15,B4:B30,0),4)</f>
        <v>-0.59999999999999964</v>
      </c>
      <c r="G18" s="46">
        <f>INDEX('2s.bezr.pow.'!B3:G29,MATCH(15,B4:B30,0),5)</f>
        <v>10.1</v>
      </c>
      <c r="H18" s="11">
        <f>INDEX('2s.bezr.pow.'!B3:G29,MATCH(15,B4:B30,0),6)</f>
        <v>-0.59999999999999964</v>
      </c>
    </row>
    <row r="19" spans="1:8" x14ac:dyDescent="0.2">
      <c r="A19" s="12">
        <v>16</v>
      </c>
      <c r="B19" s="4">
        <f>RANK('2s.bezr.pow.'!C18,'2s.bezr.pow.'!$C$3:'2s.bezr.pow.'!$C$29,1)+COUNTIF('2s.bezr.pow.'!$C$3:'2s.bezr.pow.'!C18,'2s.bezr.pow.'!C18)-1</f>
        <v>22</v>
      </c>
      <c r="C19" s="3" t="str">
        <f>INDEX('2s.bezr.pow.'!B3:G29,MATCH(16,B4:B30,0),1)</f>
        <v>Powiat m.Przemyśl</v>
      </c>
      <c r="D19" s="5">
        <f>INDEX('2s.bezr.pow.'!B3:G29,MATCH(16,B4:B30,0),2)</f>
        <v>9.8000000000000007</v>
      </c>
      <c r="E19" s="46">
        <f>INDEX('2s.bezr.pow.'!B3:G29,MATCH(16,B4:B30,0),3)</f>
        <v>10</v>
      </c>
      <c r="F19" s="11">
        <f>INDEX('2s.bezr.pow.'!B3:G29,MATCH(16,B4:B30,0),4)</f>
        <v>-0.19999999999999929</v>
      </c>
      <c r="G19" s="46">
        <f>INDEX('2s.bezr.pow.'!B3:G29,MATCH(16,B4:B30,0),5)</f>
        <v>10.5</v>
      </c>
      <c r="H19" s="11">
        <f>INDEX('2s.bezr.pow.'!B3:G29,MATCH(16,B4:B30,0),6)</f>
        <v>-0.69999999999999929</v>
      </c>
    </row>
    <row r="20" spans="1:8" x14ac:dyDescent="0.2">
      <c r="A20" s="12">
        <v>17</v>
      </c>
      <c r="B20" s="4">
        <f>RANK('2s.bezr.pow.'!C19,'2s.bezr.pow.'!$C$3:'2s.bezr.pow.'!$C$29,1)+COUNTIF('2s.bezr.pow.'!$C$3:'2s.bezr.pow.'!C19,'2s.bezr.pow.'!C19)-1</f>
        <v>20</v>
      </c>
      <c r="C20" s="3" t="str">
        <f>INDEX('2s.bezr.pow.'!B3:G29,MATCH(17,B4:B30,0),1)</f>
        <v>Powiat jarosławski</v>
      </c>
      <c r="D20" s="5">
        <f>INDEX('2s.bezr.pow.'!B3:G29,MATCH(17,B4:B30,0),2)</f>
        <v>10.5</v>
      </c>
      <c r="E20" s="46">
        <f>INDEX('2s.bezr.pow.'!B3:G29,MATCH(17,B4:B30,0),3)</f>
        <v>10.9</v>
      </c>
      <c r="F20" s="11">
        <f>INDEX('2s.bezr.pow.'!B3:G29,MATCH(17,B4:B30,0),4)</f>
        <v>-0.40000000000000036</v>
      </c>
      <c r="G20" s="46">
        <f>INDEX('2s.bezr.pow.'!B3:G29,MATCH(17,B4:B30,0),5)</f>
        <v>11.1</v>
      </c>
      <c r="H20" s="11">
        <f>INDEX('2s.bezr.pow.'!B3:G29,MATCH(17,B4:B30,0),6)</f>
        <v>-0.59999999999999964</v>
      </c>
    </row>
    <row r="21" spans="1:8" x14ac:dyDescent="0.2">
      <c r="A21" s="12">
        <v>18</v>
      </c>
      <c r="B21" s="4">
        <f>RANK('2s.bezr.pow.'!C20,'2s.bezr.pow.'!$C$3:'2s.bezr.pow.'!$C$29,1)+COUNTIF('2s.bezr.pow.'!$C$3:'2s.bezr.pow.'!C20,'2s.bezr.pow.'!C20)-1</f>
        <v>18</v>
      </c>
      <c r="C21" s="3" t="str">
        <f>INDEX('2s.bezr.pow.'!B3:G29,MATCH(18,B4:B30,0),1)</f>
        <v>Powiat ropczycko-sędziszowski</v>
      </c>
      <c r="D21" s="5">
        <f>INDEX('2s.bezr.pow.'!B3:G29,MATCH(18,B4:B30,0),2)</f>
        <v>10.9</v>
      </c>
      <c r="E21" s="46">
        <f>INDEX('2s.bezr.pow.'!B3:G29,MATCH(18,B4:B30,0),3)</f>
        <v>10.5</v>
      </c>
      <c r="F21" s="11">
        <f>INDEX('2s.bezr.pow.'!B3:G29,MATCH(18,B4:B30,0),4)</f>
        <v>0.40000000000000036</v>
      </c>
      <c r="G21" s="46">
        <f>INDEX('2s.bezr.pow.'!B3:G29,MATCH(18,B4:B30,0),5)</f>
        <v>10.7</v>
      </c>
      <c r="H21" s="11">
        <f>INDEX('2s.bezr.pow.'!B3:G29,MATCH(18,B4:B30,0),6)</f>
        <v>0.20000000000000107</v>
      </c>
    </row>
    <row r="22" spans="1:8" x14ac:dyDescent="0.2">
      <c r="A22" s="12">
        <v>19</v>
      </c>
      <c r="B22" s="4">
        <f>RANK('2s.bezr.pow.'!C21,'2s.bezr.pow.'!$C$3:'2s.bezr.pow.'!$C$29,1)+COUNTIF('2s.bezr.pow.'!$C$3:'2s.bezr.pow.'!C21,'2s.bezr.pow.'!C21)-1</f>
        <v>9</v>
      </c>
      <c r="C22" s="3" t="str">
        <f>INDEX('2s.bezr.pow.'!B3:G29,MATCH(19,B4:B30,0),1)</f>
        <v>Powiat jasielski</v>
      </c>
      <c r="D22" s="5">
        <f>INDEX('2s.bezr.pow.'!B3:G29,MATCH(19,B4:B30,0),2)</f>
        <v>12.7</v>
      </c>
      <c r="E22" s="46">
        <f>INDEX('2s.bezr.pow.'!B3:G29,MATCH(19,B4:B30,0),3)</f>
        <v>13.3</v>
      </c>
      <c r="F22" s="11">
        <f>INDEX('2s.bezr.pow.'!B3:G29,MATCH(19,B4:B30,0),4)</f>
        <v>-0.60000000000000142</v>
      </c>
      <c r="G22" s="46">
        <f>INDEX('2s.bezr.pow.'!B3:G29,MATCH(19,B4:B30,0),5)</f>
        <v>12.8</v>
      </c>
      <c r="H22" s="11">
        <f>INDEX('2s.bezr.pow.'!B3:G29,MATCH(19,B4:B30,0),6)</f>
        <v>-0.10000000000000142</v>
      </c>
    </row>
    <row r="23" spans="1:8" x14ac:dyDescent="0.2">
      <c r="A23" s="12">
        <v>20</v>
      </c>
      <c r="B23" s="4">
        <f>RANK('2s.bezr.pow.'!C22,'2s.bezr.pow.'!$C$3:'2s.bezr.pow.'!$C$29,1)+COUNTIF('2s.bezr.pow.'!$C$3:'2s.bezr.pow.'!C22,'2s.bezr.pow.'!C22)-1</f>
        <v>11</v>
      </c>
      <c r="C23" s="3" t="str">
        <f>INDEX('2s.bezr.pow.'!B3:G29,MATCH(20,B4:B30,0),1)</f>
        <v>Powiat przeworski</v>
      </c>
      <c r="D23" s="5">
        <f>INDEX('2s.bezr.pow.'!B3:G29,MATCH(20,B4:B30,0),2)</f>
        <v>12.7</v>
      </c>
      <c r="E23" s="46">
        <f>INDEX('2s.bezr.pow.'!B3:G29,MATCH(20,B4:B30,0),3)</f>
        <v>12.9</v>
      </c>
      <c r="F23" s="11">
        <f>INDEX('2s.bezr.pow.'!B3:G29,MATCH(20,B4:B30,0),4)</f>
        <v>-0.20000000000000107</v>
      </c>
      <c r="G23" s="46">
        <f>INDEX('2s.bezr.pow.'!B3:G29,MATCH(20,B4:B30,0),5)</f>
        <v>13.9</v>
      </c>
      <c r="H23" s="11">
        <f>INDEX('2s.bezr.pow.'!B3:G29,MATCH(20,B4:B30,0),6)</f>
        <v>-1.2000000000000011</v>
      </c>
    </row>
    <row r="24" spans="1:8" x14ac:dyDescent="0.2">
      <c r="A24" s="12">
        <v>21</v>
      </c>
      <c r="B24" s="4">
        <f>RANK('2s.bezr.pow.'!C23,'2s.bezr.pow.'!$C$3:'2s.bezr.pow.'!$C$29,1)+COUNTIF('2s.bezr.pow.'!$C$3:'2s.bezr.pow.'!C23,'2s.bezr.pow.'!C23)-1</f>
        <v>4</v>
      </c>
      <c r="C24" s="3" t="str">
        <f>INDEX('2s.bezr.pow.'!B3:G29,MATCH(21,B4:B30,0),1)</f>
        <v>Powiat leżajski</v>
      </c>
      <c r="D24" s="5">
        <f>INDEX('2s.bezr.pow.'!B3:G29,MATCH(21,B4:B30,0),2)</f>
        <v>14.2</v>
      </c>
      <c r="E24" s="46">
        <f>INDEX('2s.bezr.pow.'!B3:G29,MATCH(21,B4:B30,0),3)</f>
        <v>14.6</v>
      </c>
      <c r="F24" s="11">
        <f>INDEX('2s.bezr.pow.'!B3:G29,MATCH(21,B4:B30,0),4)</f>
        <v>-0.40000000000000036</v>
      </c>
      <c r="G24" s="46">
        <f>INDEX('2s.bezr.pow.'!B3:G29,MATCH(21,B4:B30,0),5)</f>
        <v>14.8</v>
      </c>
      <c r="H24" s="11">
        <f>INDEX('2s.bezr.pow.'!B3:G29,MATCH(21,B4:B30,0),6)</f>
        <v>-0.60000000000000142</v>
      </c>
    </row>
    <row r="25" spans="1:8" x14ac:dyDescent="0.2">
      <c r="A25" s="12">
        <v>22</v>
      </c>
      <c r="B25" s="4">
        <f>RANK('2s.bezr.pow.'!C24,'2s.bezr.pow.'!$C$3:'2s.bezr.pow.'!$C$29,1)+COUNTIF('2s.bezr.pow.'!$C$3:'2s.bezr.pow.'!C24,'2s.bezr.pow.'!C24)-1</f>
        <v>25</v>
      </c>
      <c r="C25" s="3" t="str">
        <f>INDEX('2s.bezr.pow.'!B3:G29,MATCH(22,B4:B30,0),1)</f>
        <v>Powiat przemyski</v>
      </c>
      <c r="D25" s="5">
        <f>INDEX('2s.bezr.pow.'!B3:G29,MATCH(22,B4:B30,0),2)</f>
        <v>14.7</v>
      </c>
      <c r="E25" s="46">
        <f>INDEX('2s.bezr.pow.'!B3:G29,MATCH(22,B4:B30,0),3)</f>
        <v>15.4</v>
      </c>
      <c r="F25" s="11">
        <f>INDEX('2s.bezr.pow.'!B3:G29,MATCH(22,B4:B30,0),4)</f>
        <v>-0.70000000000000107</v>
      </c>
      <c r="G25" s="46">
        <f>INDEX('2s.bezr.pow.'!B3:G29,MATCH(22,B4:B30,0),5)</f>
        <v>15.5</v>
      </c>
      <c r="H25" s="11">
        <f>INDEX('2s.bezr.pow.'!B3:G29,MATCH(22,B4:B30,0),6)</f>
        <v>-0.80000000000000071</v>
      </c>
    </row>
    <row r="26" spans="1:8" x14ac:dyDescent="0.2">
      <c r="A26" s="12">
        <v>23</v>
      </c>
      <c r="B26" s="4">
        <f>RANK('2s.bezr.pow.'!C25,'2s.bezr.pow.'!$C$3:'2s.bezr.pow.'!$C$29,1)+COUNTIF('2s.bezr.pow.'!$C$3:'2s.bezr.pow.'!C25,'2s.bezr.pow.'!C25)-1</f>
        <v>8</v>
      </c>
      <c r="C26" s="3" t="str">
        <f>INDEX('2s.bezr.pow.'!B3:G29,MATCH(23,B4:B30,0),1)</f>
        <v>Powiat bieszczadzki</v>
      </c>
      <c r="D26" s="5">
        <f>INDEX('2s.bezr.pow.'!B3:G29,MATCH(23,B4:B30,0),2)</f>
        <v>14.8</v>
      </c>
      <c r="E26" s="46">
        <f>INDEX('2s.bezr.pow.'!B3:G29,MATCH(23,B4:B30,0),3)</f>
        <v>15.4</v>
      </c>
      <c r="F26" s="11">
        <f>INDEX('2s.bezr.pow.'!B3:G29,MATCH(23,B4:B30,0),4)</f>
        <v>-0.59999999999999964</v>
      </c>
      <c r="G26" s="46">
        <f>INDEX('2s.bezr.pow.'!B3:G29,MATCH(23,B4:B30,0),5)</f>
        <v>15.5</v>
      </c>
      <c r="H26" s="11">
        <f>INDEX('2s.bezr.pow.'!B3:G29,MATCH(23,B4:B30,0),6)</f>
        <v>-0.69999999999999929</v>
      </c>
    </row>
    <row r="27" spans="1:8" x14ac:dyDescent="0.2">
      <c r="A27" s="12">
        <v>24</v>
      </c>
      <c r="B27" s="4">
        <f>RANK('2s.bezr.pow.'!C26,'2s.bezr.pow.'!$C$3:'2s.bezr.pow.'!$C$29,1)+COUNTIF('2s.bezr.pow.'!$C$3:'2s.bezr.pow.'!C26,'2s.bezr.pow.'!C26)-1</f>
        <v>1</v>
      </c>
      <c r="C27" s="3" t="str">
        <f>INDEX('2s.bezr.pow.'!B3:G29,MATCH(24,B4:B30,0),1)</f>
        <v>Powiat niżański</v>
      </c>
      <c r="D27" s="5">
        <f>INDEX('2s.bezr.pow.'!B3:G29,MATCH(24,B4:B30,0),2)</f>
        <v>15.8</v>
      </c>
      <c r="E27" s="46">
        <f>INDEX('2s.bezr.pow.'!B3:G29,MATCH(24,B4:B30,0),3)</f>
        <v>16</v>
      </c>
      <c r="F27" s="11">
        <f>INDEX('2s.bezr.pow.'!B3:G29,MATCH(24,B4:B30,0),4)</f>
        <v>-0.19999999999999929</v>
      </c>
      <c r="G27" s="46">
        <f>INDEX('2s.bezr.pow.'!B3:G29,MATCH(24,B4:B30,0),5)</f>
        <v>16.600000000000001</v>
      </c>
      <c r="H27" s="11">
        <f>INDEX('2s.bezr.pow.'!B3:G29,MATCH(24,B4:B30,0),6)</f>
        <v>-0.80000000000000071</v>
      </c>
    </row>
    <row r="28" spans="1:8" x14ac:dyDescent="0.2">
      <c r="A28" s="12">
        <v>25</v>
      </c>
      <c r="B28" s="4">
        <f>RANK('2s.bezr.pow.'!C27,'2s.bezr.pow.'!$C$3:'2s.bezr.pow.'!$C$29,1)+COUNTIF('2s.bezr.pow.'!$C$3:'2s.bezr.pow.'!C27,'2s.bezr.pow.'!C27)-1</f>
        <v>16</v>
      </c>
      <c r="C28" s="3" t="str">
        <f>INDEX('2s.bezr.pow.'!B3:G29,MATCH(25,B4:B30,0),1)</f>
        <v>Powiat strzyżowski</v>
      </c>
      <c r="D28" s="5">
        <f>INDEX('2s.bezr.pow.'!B3:G29,MATCH(25,B4:B30,0),2)</f>
        <v>16.8</v>
      </c>
      <c r="E28" s="46">
        <f>INDEX('2s.bezr.pow.'!B3:G29,MATCH(25,B4:B30,0),3)</f>
        <v>17.100000000000001</v>
      </c>
      <c r="F28" s="11">
        <f>INDEX('2s.bezr.pow.'!B3:G29,MATCH(25,B4:B30,0),4)</f>
        <v>-0.30000000000000071</v>
      </c>
      <c r="G28" s="46">
        <f>INDEX('2s.bezr.pow.'!B3:G29,MATCH(25,B4:B30,0),5)</f>
        <v>17.5</v>
      </c>
      <c r="H28" s="11">
        <f>INDEX('2s.bezr.pow.'!B3:G29,MATCH(25,B4:B30,0),6)</f>
        <v>-0.69999999999999929</v>
      </c>
    </row>
    <row r="29" spans="1:8" ht="15" x14ac:dyDescent="0.25">
      <c r="A29" s="12">
        <v>26</v>
      </c>
      <c r="B29" s="9">
        <f>RANK('2s.bezr.pow.'!C28,'2s.bezr.pow.'!$C$3:'2s.bezr.pow.'!$C$29,1)+COUNTIF('2s.bezr.pow.'!$C$3:'2s.bezr.pow.'!C28,'2s.bezr.pow.'!C28)-1</f>
        <v>2</v>
      </c>
      <c r="C29" s="10" t="str">
        <f>INDEX('2s.bezr.pow.'!B3:G29,MATCH(26,B4:B30,0),1)</f>
        <v>Powiat leski</v>
      </c>
      <c r="D29" s="21">
        <f>INDEX('2s.bezr.pow.'!B3:G29,MATCH(26,B4:B30,0),2)</f>
        <v>18.399999999999999</v>
      </c>
      <c r="E29" s="42">
        <f>INDEX('2s.bezr.pow.'!B3:G29,MATCH(26,B4:B30,0),3)</f>
        <v>18.899999999999999</v>
      </c>
      <c r="F29" s="25">
        <f>INDEX('2s.bezr.pow.'!B3:G29,MATCH(26,B4:B30,0),4)</f>
        <v>-0.5</v>
      </c>
      <c r="G29" s="42">
        <f>INDEX('2s.bezr.pow.'!B3:G29,MATCH(26,B4:B30,0),5)</f>
        <v>19.100000000000001</v>
      </c>
      <c r="H29" s="25">
        <f>INDEX('2s.bezr.pow.'!B3:G29,MATCH(26,B4:B30,0),6)</f>
        <v>-0.70000000000000284</v>
      </c>
    </row>
    <row r="30" spans="1:8" x14ac:dyDescent="0.2">
      <c r="A30" s="12">
        <v>27</v>
      </c>
      <c r="B30" s="26">
        <f>RANK('2s.bezr.pow.'!C29,'2s.bezr.pow.'!$C$3:'2s.bezr.pow.'!$C$29,1)+COUNTIF('2s.bezr.pow.'!$C$3:'2s.bezr.pow.'!C29,'2s.bezr.pow.'!C29)-1</f>
        <v>7</v>
      </c>
      <c r="C30" s="27" t="str">
        <f>INDEX('2s.bezr.pow.'!B3:G29,MATCH(27,B4:B30,0),1)</f>
        <v>Powiat brzozowski</v>
      </c>
      <c r="D30" s="5">
        <f>INDEX('2s.bezr.pow.'!B3:G29,MATCH(27,B4:B30,0),2)</f>
        <v>19.600000000000001</v>
      </c>
      <c r="E30" s="46">
        <f>INDEX('2s.bezr.pow.'!B3:G29,MATCH(27,B4:B30,0),3)</f>
        <v>20.399999999999999</v>
      </c>
      <c r="F30" s="5">
        <f>INDEX('2s.bezr.pow.'!B3:G29,MATCH(27,B4:B30,0),4)</f>
        <v>-0.79999999999999716</v>
      </c>
      <c r="G30" s="46">
        <f>INDEX('2s.bezr.pow.'!B3:G29,MATCH(27,B4:B30,0),5)</f>
        <v>20.6</v>
      </c>
      <c r="H30" s="5">
        <f>INDEX('2s.bezr.pow.'!B3:G29,MATCH(27,B4:B30,0),6)</f>
        <v>-1</v>
      </c>
    </row>
    <row r="31" spans="1:8" x14ac:dyDescent="0.2">
      <c r="C31" s="30" t="str">
        <f>T('2s.bezr.pow.'!B30)</f>
        <v xml:space="preserve">* GUS, Bank Danych Lokalnych </v>
      </c>
    </row>
    <row r="32" spans="1:8" x14ac:dyDescent="0.2">
      <c r="C32" s="47"/>
    </row>
  </sheetData>
  <pageMargins left="0" right="0" top="0.31496062992125984" bottom="0" header="0" footer="0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1C88C-B5ED-43A9-9222-C5DB555B6FCD}">
  <sheetPr>
    <tabColor theme="0"/>
  </sheetPr>
  <dimension ref="A1:M36"/>
  <sheetViews>
    <sheetView zoomScale="80" zoomScaleNormal="80" workbookViewId="0">
      <selection activeCell="B1" sqref="B1"/>
    </sheetView>
  </sheetViews>
  <sheetFormatPr defaultRowHeight="12" x14ac:dyDescent="0.2"/>
  <cols>
    <col min="1" max="1" width="2" style="54" customWidth="1"/>
    <col min="2" max="2" width="10.7109375" style="55" customWidth="1"/>
    <col min="3" max="3" width="6.85546875" style="55" customWidth="1"/>
    <col min="4" max="4" width="11.140625" style="55" customWidth="1"/>
    <col min="5" max="5" width="14" style="55" customWidth="1"/>
    <col min="6" max="6" width="9.85546875" style="55" customWidth="1"/>
    <col min="7" max="7" width="12.28515625" style="55" customWidth="1"/>
    <col min="8" max="8" width="10.85546875" style="55" customWidth="1"/>
    <col min="9" max="9" width="10.5703125" style="55" customWidth="1"/>
    <col min="10" max="10" width="3.42578125" style="55" customWidth="1"/>
    <col min="11" max="11" width="10.5703125" style="55" customWidth="1"/>
    <col min="12" max="12" width="10.85546875" style="55" customWidth="1"/>
    <col min="13" max="13" width="11.5703125" style="55" customWidth="1"/>
    <col min="14" max="14" width="4.7109375" style="55" customWidth="1"/>
    <col min="15" max="15" width="5" style="55" customWidth="1"/>
    <col min="16" max="16384" width="9.140625" style="55"/>
  </cols>
  <sheetData>
    <row r="1" spans="1:13" ht="16.5" customHeight="1" thickBot="1" x14ac:dyDescent="0.25">
      <c r="B1" s="138" t="s">
        <v>52</v>
      </c>
      <c r="E1" s="139" t="s">
        <v>53</v>
      </c>
      <c r="K1" s="55" t="s">
        <v>52</v>
      </c>
    </row>
    <row r="2" spans="1:13" ht="12.75" thickBot="1" x14ac:dyDescent="0.25">
      <c r="B2" s="56" t="s">
        <v>54</v>
      </c>
      <c r="C2" s="57" t="s">
        <v>1</v>
      </c>
      <c r="D2" s="57" t="s">
        <v>10</v>
      </c>
      <c r="E2" s="58" t="s">
        <v>55</v>
      </c>
      <c r="F2" s="58" t="s">
        <v>56</v>
      </c>
      <c r="G2" s="58" t="s">
        <v>57</v>
      </c>
      <c r="H2" s="57" t="s">
        <v>58</v>
      </c>
      <c r="I2" s="59" t="s">
        <v>59</v>
      </c>
      <c r="K2" s="56" t="s">
        <v>60</v>
      </c>
      <c r="L2" s="57" t="s">
        <v>61</v>
      </c>
      <c r="M2" s="59" t="s">
        <v>62</v>
      </c>
    </row>
    <row r="3" spans="1:13" x14ac:dyDescent="0.2">
      <c r="A3" s="60"/>
      <c r="B3" s="61">
        <v>33238</v>
      </c>
      <c r="C3" s="62">
        <v>6.5</v>
      </c>
      <c r="D3" s="63"/>
      <c r="E3" s="64"/>
      <c r="F3" s="64"/>
      <c r="G3" s="64"/>
      <c r="H3" s="65"/>
      <c r="I3" s="66"/>
      <c r="K3" s="61">
        <v>32904</v>
      </c>
      <c r="L3" s="62">
        <v>0.3</v>
      </c>
      <c r="M3" s="67"/>
    </row>
    <row r="4" spans="1:13" x14ac:dyDescent="0.2">
      <c r="A4" s="60"/>
      <c r="B4" s="68">
        <v>33603</v>
      </c>
      <c r="C4" s="69">
        <v>12.2</v>
      </c>
      <c r="D4" s="70"/>
      <c r="E4" s="71"/>
      <c r="F4" s="71"/>
      <c r="G4" s="71"/>
      <c r="H4" s="72"/>
      <c r="I4" s="73"/>
      <c r="K4" s="68">
        <v>33269</v>
      </c>
      <c r="L4" s="69">
        <v>6.6</v>
      </c>
      <c r="M4" s="74"/>
    </row>
    <row r="5" spans="1:13" x14ac:dyDescent="0.2">
      <c r="A5" s="60"/>
      <c r="B5" s="68">
        <v>33969</v>
      </c>
      <c r="C5" s="69">
        <v>14.3</v>
      </c>
      <c r="D5" s="70"/>
      <c r="E5" s="71"/>
      <c r="F5" s="71"/>
      <c r="G5" s="71"/>
      <c r="H5" s="72"/>
      <c r="I5" s="73"/>
      <c r="K5" s="68">
        <v>33634</v>
      </c>
      <c r="L5" s="69">
        <v>12.1</v>
      </c>
      <c r="M5" s="74"/>
    </row>
    <row r="6" spans="1:13" x14ac:dyDescent="0.2">
      <c r="A6" s="60"/>
      <c r="B6" s="68">
        <v>34334</v>
      </c>
      <c r="C6" s="69">
        <v>16.399999999999999</v>
      </c>
      <c r="D6" s="70"/>
      <c r="E6" s="71"/>
      <c r="F6" s="71"/>
      <c r="G6" s="71"/>
      <c r="H6" s="72"/>
      <c r="I6" s="73"/>
      <c r="K6" s="68">
        <v>34000</v>
      </c>
      <c r="L6" s="69">
        <v>14.2</v>
      </c>
      <c r="M6" s="74"/>
    </row>
    <row r="7" spans="1:13" x14ac:dyDescent="0.2">
      <c r="A7" s="60"/>
      <c r="B7" s="68">
        <v>34699</v>
      </c>
      <c r="C7" s="75">
        <v>16</v>
      </c>
      <c r="D7" s="70"/>
      <c r="E7" s="71"/>
      <c r="F7" s="71"/>
      <c r="G7" s="71"/>
      <c r="H7" s="72"/>
      <c r="I7" s="73"/>
      <c r="K7" s="76">
        <v>34365</v>
      </c>
      <c r="L7" s="69">
        <v>16.7</v>
      </c>
      <c r="M7" s="77"/>
    </row>
    <row r="8" spans="1:13" x14ac:dyDescent="0.2">
      <c r="A8" s="60"/>
      <c r="B8" s="68">
        <v>35064</v>
      </c>
      <c r="C8" s="69">
        <v>14.9</v>
      </c>
      <c r="D8" s="70"/>
      <c r="E8" s="71"/>
      <c r="F8" s="71"/>
      <c r="G8" s="71"/>
      <c r="H8" s="72"/>
      <c r="I8" s="73"/>
      <c r="K8" s="76">
        <v>34730</v>
      </c>
      <c r="L8" s="69">
        <v>16.100000000000001</v>
      </c>
      <c r="M8" s="77"/>
    </row>
    <row r="9" spans="1:13" x14ac:dyDescent="0.2">
      <c r="A9" s="60"/>
      <c r="B9" s="68">
        <v>35430</v>
      </c>
      <c r="C9" s="69">
        <v>13.2</v>
      </c>
      <c r="D9" s="70"/>
      <c r="E9" s="71"/>
      <c r="F9" s="71"/>
      <c r="G9" s="71"/>
      <c r="H9" s="72"/>
      <c r="I9" s="73"/>
      <c r="K9" s="76">
        <v>35095</v>
      </c>
      <c r="L9" s="69">
        <v>15.4</v>
      </c>
      <c r="M9" s="77"/>
    </row>
    <row r="10" spans="1:13" x14ac:dyDescent="0.2">
      <c r="A10" s="60"/>
      <c r="B10" s="68">
        <v>35795</v>
      </c>
      <c r="C10" s="69">
        <v>10.3</v>
      </c>
      <c r="D10" s="70"/>
      <c r="E10" s="71"/>
      <c r="F10" s="71"/>
      <c r="G10" s="71"/>
      <c r="H10" s="72"/>
      <c r="I10" s="73"/>
      <c r="K10" s="76">
        <v>35461</v>
      </c>
      <c r="L10" s="69">
        <v>13.1</v>
      </c>
      <c r="M10" s="77"/>
    </row>
    <row r="11" spans="1:13" x14ac:dyDescent="0.2">
      <c r="A11" s="60"/>
      <c r="B11" s="68">
        <v>36160</v>
      </c>
      <c r="C11" s="69">
        <v>10.4</v>
      </c>
      <c r="D11" s="69">
        <v>12.4</v>
      </c>
      <c r="E11" s="78">
        <v>137367</v>
      </c>
      <c r="F11" s="78">
        <v>77793</v>
      </c>
      <c r="G11" s="78">
        <f>SUM(E11-F11)</f>
        <v>59574</v>
      </c>
      <c r="H11" s="79">
        <f>SUM(F11)/E11*100</f>
        <v>56.631505383389026</v>
      </c>
      <c r="I11" s="80">
        <f t="shared" ref="I11:I27" si="0">SUM(E11-F11)/E11*100</f>
        <v>43.368494616610974</v>
      </c>
      <c r="K11" s="76">
        <v>35826</v>
      </c>
      <c r="L11" s="69">
        <v>10.7</v>
      </c>
      <c r="M11" s="77"/>
    </row>
    <row r="12" spans="1:13" x14ac:dyDescent="0.2">
      <c r="A12" s="60"/>
      <c r="B12" s="68">
        <v>36525</v>
      </c>
      <c r="C12" s="69">
        <v>13.1</v>
      </c>
      <c r="D12" s="69">
        <v>14.5</v>
      </c>
      <c r="E12" s="78">
        <v>164692</v>
      </c>
      <c r="F12" s="78">
        <v>87827</v>
      </c>
      <c r="G12" s="78">
        <f t="shared" ref="G12:G36" si="1">SUM(E12-F12)</f>
        <v>76865</v>
      </c>
      <c r="H12" s="75">
        <f t="shared" ref="H12:H27" si="2">SUM(F12)/E12*100</f>
        <v>53.328030505428316</v>
      </c>
      <c r="I12" s="80">
        <f t="shared" si="0"/>
        <v>46.671969494571684</v>
      </c>
      <c r="K12" s="76">
        <v>36191</v>
      </c>
      <c r="L12" s="69">
        <v>11.4</v>
      </c>
      <c r="M12" s="81">
        <v>13.2</v>
      </c>
    </row>
    <row r="13" spans="1:13" ht="12.75" thickBot="1" x14ac:dyDescent="0.25">
      <c r="A13" s="60"/>
      <c r="B13" s="82">
        <v>36891</v>
      </c>
      <c r="C13" s="83">
        <v>15.1</v>
      </c>
      <c r="D13" s="83">
        <v>15.9</v>
      </c>
      <c r="E13" s="84">
        <v>182168</v>
      </c>
      <c r="F13" s="85">
        <v>97270</v>
      </c>
      <c r="G13" s="85">
        <f t="shared" si="1"/>
        <v>84898</v>
      </c>
      <c r="H13" s="86">
        <f t="shared" si="2"/>
        <v>53.395766545167099</v>
      </c>
      <c r="I13" s="87">
        <f t="shared" si="0"/>
        <v>46.604233454832901</v>
      </c>
      <c r="K13" s="88">
        <v>36556</v>
      </c>
      <c r="L13" s="89">
        <v>13.7</v>
      </c>
      <c r="M13" s="90">
        <v>15.1</v>
      </c>
    </row>
    <row r="14" spans="1:13" x14ac:dyDescent="0.2">
      <c r="A14" s="60"/>
      <c r="B14" s="91">
        <v>37256</v>
      </c>
      <c r="C14" s="92">
        <v>17.5</v>
      </c>
      <c r="D14" s="92">
        <v>17.3</v>
      </c>
      <c r="E14" s="93">
        <v>195173</v>
      </c>
      <c r="F14" s="93">
        <v>100472</v>
      </c>
      <c r="G14" s="93">
        <f t="shared" si="1"/>
        <v>94701</v>
      </c>
      <c r="H14" s="94">
        <f t="shared" si="2"/>
        <v>51.478431955239714</v>
      </c>
      <c r="I14" s="95">
        <f t="shared" si="0"/>
        <v>48.521568044760286</v>
      </c>
      <c r="K14" s="96">
        <v>36922</v>
      </c>
      <c r="L14" s="62">
        <v>15.7</v>
      </c>
      <c r="M14" s="97">
        <v>16.399999999999999</v>
      </c>
    </row>
    <row r="15" spans="1:13" x14ac:dyDescent="0.2">
      <c r="A15" s="60"/>
      <c r="B15" s="98">
        <v>37621</v>
      </c>
      <c r="C15" s="99">
        <v>18</v>
      </c>
      <c r="D15" s="100">
        <v>16.899999999999999</v>
      </c>
      <c r="E15" s="101">
        <v>187519</v>
      </c>
      <c r="F15" s="102">
        <v>93772</v>
      </c>
      <c r="G15" s="102">
        <f t="shared" si="1"/>
        <v>93747</v>
      </c>
      <c r="H15" s="99">
        <f t="shared" si="2"/>
        <v>50.006665991179553</v>
      </c>
      <c r="I15" s="103">
        <f t="shared" si="0"/>
        <v>49.99333400882044</v>
      </c>
      <c r="K15" s="76">
        <v>37287</v>
      </c>
      <c r="L15" s="69">
        <v>18.100000000000001</v>
      </c>
      <c r="M15" s="81">
        <v>17.8</v>
      </c>
    </row>
    <row r="16" spans="1:13" x14ac:dyDescent="0.2">
      <c r="A16" s="60"/>
      <c r="B16" s="98">
        <v>37986</v>
      </c>
      <c r="C16" s="99">
        <v>20</v>
      </c>
      <c r="D16" s="100">
        <v>16.7</v>
      </c>
      <c r="E16" s="101">
        <v>182497</v>
      </c>
      <c r="F16" s="102">
        <v>92598</v>
      </c>
      <c r="G16" s="102">
        <f t="shared" si="1"/>
        <v>89899</v>
      </c>
      <c r="H16" s="99">
        <f t="shared" si="2"/>
        <v>50.739464210370578</v>
      </c>
      <c r="I16" s="104">
        <f t="shared" si="0"/>
        <v>49.260535789629415</v>
      </c>
      <c r="K16" s="76">
        <v>37652</v>
      </c>
      <c r="L16" s="69">
        <v>20.6</v>
      </c>
      <c r="M16" s="81">
        <v>17.3</v>
      </c>
    </row>
    <row r="17" spans="1:13" x14ac:dyDescent="0.2">
      <c r="A17" s="60"/>
      <c r="B17" s="98">
        <v>38352</v>
      </c>
      <c r="C17" s="99">
        <v>19</v>
      </c>
      <c r="D17" s="105">
        <v>19.100000000000001</v>
      </c>
      <c r="E17" s="101">
        <v>170293</v>
      </c>
      <c r="F17" s="102">
        <v>88723</v>
      </c>
      <c r="G17" s="102">
        <f t="shared" si="1"/>
        <v>81570</v>
      </c>
      <c r="H17" s="99">
        <f t="shared" si="2"/>
        <v>52.100203766449596</v>
      </c>
      <c r="I17" s="104">
        <f t="shared" si="0"/>
        <v>47.899796233550411</v>
      </c>
      <c r="K17" s="76">
        <v>38017</v>
      </c>
      <c r="L17" s="69">
        <v>20.6</v>
      </c>
      <c r="M17" s="81">
        <v>19.100000000000001</v>
      </c>
    </row>
    <row r="18" spans="1:13" x14ac:dyDescent="0.2">
      <c r="A18" s="60"/>
      <c r="B18" s="98">
        <v>38717</v>
      </c>
      <c r="C18" s="100">
        <v>17.600000000000001</v>
      </c>
      <c r="D18" s="100">
        <v>18.399999999999999</v>
      </c>
      <c r="E18" s="102">
        <v>163956</v>
      </c>
      <c r="F18" s="102">
        <v>87626</v>
      </c>
      <c r="G18" s="102">
        <f t="shared" si="1"/>
        <v>76330</v>
      </c>
      <c r="H18" s="99">
        <f t="shared" si="2"/>
        <v>53.444826660811437</v>
      </c>
      <c r="I18" s="104">
        <f t="shared" si="0"/>
        <v>46.555173339188563</v>
      </c>
      <c r="K18" s="76">
        <v>38383</v>
      </c>
      <c r="L18" s="69">
        <v>19.399999999999999</v>
      </c>
      <c r="M18" s="81">
        <v>18.5</v>
      </c>
    </row>
    <row r="19" spans="1:13" x14ac:dyDescent="0.2">
      <c r="A19" s="60"/>
      <c r="B19" s="98">
        <v>39082</v>
      </c>
      <c r="C19" s="100">
        <v>14.8</v>
      </c>
      <c r="D19" s="100">
        <v>16.399999999999999</v>
      </c>
      <c r="E19" s="102">
        <v>145246</v>
      </c>
      <c r="F19" s="102">
        <v>81490</v>
      </c>
      <c r="G19" s="102">
        <f t="shared" si="1"/>
        <v>63756</v>
      </c>
      <c r="H19" s="99">
        <f t="shared" si="2"/>
        <v>56.104815278906131</v>
      </c>
      <c r="I19" s="104">
        <f t="shared" si="0"/>
        <v>43.895184721093869</v>
      </c>
      <c r="K19" s="76">
        <v>38748</v>
      </c>
      <c r="L19" s="75">
        <v>18</v>
      </c>
      <c r="M19" s="81">
        <v>16.399999999999999</v>
      </c>
    </row>
    <row r="20" spans="1:13" x14ac:dyDescent="0.2">
      <c r="A20" s="60"/>
      <c r="B20" s="98">
        <v>39447</v>
      </c>
      <c r="C20" s="100">
        <v>11.2</v>
      </c>
      <c r="D20" s="100">
        <v>14.2</v>
      </c>
      <c r="E20" s="102">
        <v>126360</v>
      </c>
      <c r="F20" s="102">
        <v>73127</v>
      </c>
      <c r="G20" s="102">
        <f t="shared" si="1"/>
        <v>53233</v>
      </c>
      <c r="H20" s="106">
        <f t="shared" si="2"/>
        <v>57.871953149730928</v>
      </c>
      <c r="I20" s="104">
        <f t="shared" si="0"/>
        <v>42.128046850269072</v>
      </c>
      <c r="K20" s="76">
        <v>39113</v>
      </c>
      <c r="L20" s="69">
        <v>15.1</v>
      </c>
      <c r="M20" s="81">
        <v>14.2</v>
      </c>
    </row>
    <row r="21" spans="1:13" x14ac:dyDescent="0.2">
      <c r="A21" s="60"/>
      <c r="B21" s="98">
        <v>39813</v>
      </c>
      <c r="C21" s="100">
        <v>9.5</v>
      </c>
      <c r="D21" s="99">
        <v>13</v>
      </c>
      <c r="E21" s="102">
        <v>115567</v>
      </c>
      <c r="F21" s="102">
        <v>64122</v>
      </c>
      <c r="G21" s="102">
        <f t="shared" si="1"/>
        <v>51445</v>
      </c>
      <c r="H21" s="99">
        <f t="shared" si="2"/>
        <v>55.484697188643814</v>
      </c>
      <c r="I21" s="104">
        <f t="shared" si="0"/>
        <v>44.515302811356186</v>
      </c>
      <c r="K21" s="76">
        <v>39478</v>
      </c>
      <c r="L21" s="69">
        <v>11.5</v>
      </c>
      <c r="M21" s="81">
        <v>14.8</v>
      </c>
    </row>
    <row r="22" spans="1:13" x14ac:dyDescent="0.2">
      <c r="A22" s="60"/>
      <c r="B22" s="98">
        <v>40178</v>
      </c>
      <c r="C22" s="100">
        <v>12.1</v>
      </c>
      <c r="D22" s="100">
        <v>15.9</v>
      </c>
      <c r="E22" s="102">
        <v>141944</v>
      </c>
      <c r="F22" s="102">
        <v>71158</v>
      </c>
      <c r="G22" s="102">
        <f t="shared" si="1"/>
        <v>70786</v>
      </c>
      <c r="H22" s="99">
        <f t="shared" si="2"/>
        <v>50.131037592289914</v>
      </c>
      <c r="I22" s="104">
        <f t="shared" si="0"/>
        <v>49.868962407710086</v>
      </c>
      <c r="K22" s="76">
        <v>39844</v>
      </c>
      <c r="L22" s="69">
        <v>10.4</v>
      </c>
      <c r="M22" s="81">
        <v>14</v>
      </c>
    </row>
    <row r="23" spans="1:13" ht="12.75" thickBot="1" x14ac:dyDescent="0.25">
      <c r="A23" s="60"/>
      <c r="B23" s="82">
        <v>40543</v>
      </c>
      <c r="C23" s="83">
        <v>12.4</v>
      </c>
      <c r="D23" s="83">
        <v>15.4</v>
      </c>
      <c r="E23" s="85">
        <v>142263</v>
      </c>
      <c r="F23" s="85">
        <v>73359</v>
      </c>
      <c r="G23" s="85">
        <f t="shared" si="1"/>
        <v>68904</v>
      </c>
      <c r="H23" s="86">
        <f t="shared" si="2"/>
        <v>51.565762004175362</v>
      </c>
      <c r="I23" s="87">
        <f t="shared" si="0"/>
        <v>48.434237995824638</v>
      </c>
      <c r="K23" s="88">
        <v>40209</v>
      </c>
      <c r="L23" s="89">
        <v>12.9</v>
      </c>
      <c r="M23" s="90">
        <v>16.7</v>
      </c>
    </row>
    <row r="24" spans="1:13" x14ac:dyDescent="0.2">
      <c r="A24" s="60"/>
      <c r="B24" s="61">
        <v>40908</v>
      </c>
      <c r="C24" s="62">
        <v>12.5</v>
      </c>
      <c r="D24" s="62">
        <v>15.5</v>
      </c>
      <c r="E24" s="107">
        <v>146208</v>
      </c>
      <c r="F24" s="107">
        <v>77403</v>
      </c>
      <c r="G24" s="107">
        <f t="shared" si="1"/>
        <v>68805</v>
      </c>
      <c r="H24" s="108">
        <f t="shared" si="2"/>
        <v>52.940331582403154</v>
      </c>
      <c r="I24" s="109">
        <f t="shared" si="0"/>
        <v>47.059668417596853</v>
      </c>
      <c r="K24" s="96">
        <v>40574</v>
      </c>
      <c r="L24" s="62">
        <v>13.1</v>
      </c>
      <c r="M24" s="97">
        <v>16</v>
      </c>
    </row>
    <row r="25" spans="1:13" x14ac:dyDescent="0.2">
      <c r="A25" s="60"/>
      <c r="B25" s="68">
        <v>41274</v>
      </c>
      <c r="C25" s="69">
        <v>13.4</v>
      </c>
      <c r="D25" s="110">
        <v>16.399999999999999</v>
      </c>
      <c r="E25" s="111">
        <v>153807</v>
      </c>
      <c r="F25" s="111">
        <v>77880</v>
      </c>
      <c r="G25" s="111">
        <f t="shared" si="1"/>
        <v>75927</v>
      </c>
      <c r="H25" s="75">
        <f t="shared" si="2"/>
        <v>50.634886578634266</v>
      </c>
      <c r="I25" s="80">
        <f t="shared" si="0"/>
        <v>49.365113421365734</v>
      </c>
      <c r="K25" s="76">
        <v>40939</v>
      </c>
      <c r="L25" s="69">
        <v>13.2</v>
      </c>
      <c r="M25" s="81">
        <v>16.2</v>
      </c>
    </row>
    <row r="26" spans="1:13" x14ac:dyDescent="0.2">
      <c r="A26" s="60"/>
      <c r="B26" s="68">
        <v>41639</v>
      </c>
      <c r="C26" s="69">
        <v>13.4</v>
      </c>
      <c r="D26" s="69">
        <v>16.3</v>
      </c>
      <c r="E26" s="111">
        <v>154216</v>
      </c>
      <c r="F26" s="78">
        <v>77415</v>
      </c>
      <c r="G26" s="78">
        <f t="shared" si="1"/>
        <v>76801</v>
      </c>
      <c r="H26" s="75">
        <f t="shared" si="2"/>
        <v>50.19907143227681</v>
      </c>
      <c r="I26" s="112">
        <f t="shared" si="0"/>
        <v>49.800928567723197</v>
      </c>
      <c r="K26" s="76">
        <v>41305</v>
      </c>
      <c r="L26" s="69">
        <v>14.2</v>
      </c>
      <c r="M26" s="81">
        <v>16.3</v>
      </c>
    </row>
    <row r="27" spans="1:13" x14ac:dyDescent="0.2">
      <c r="A27" s="60"/>
      <c r="B27" s="113">
        <v>42004</v>
      </c>
      <c r="C27" s="114">
        <v>11.4</v>
      </c>
      <c r="D27" s="114">
        <v>14.6</v>
      </c>
      <c r="E27" s="115">
        <v>137932</v>
      </c>
      <c r="F27" s="115">
        <v>70305</v>
      </c>
      <c r="G27" s="115">
        <f t="shared" si="1"/>
        <v>67627</v>
      </c>
      <c r="H27" s="116">
        <f t="shared" si="2"/>
        <v>50.970768204622566</v>
      </c>
      <c r="I27" s="117">
        <f t="shared" si="0"/>
        <v>49.029231795377434</v>
      </c>
      <c r="K27" s="118">
        <v>41670</v>
      </c>
      <c r="L27" s="114">
        <v>13.9</v>
      </c>
      <c r="M27" s="119">
        <v>14.8</v>
      </c>
    </row>
    <row r="28" spans="1:13" x14ac:dyDescent="0.2">
      <c r="A28" s="60"/>
      <c r="B28" s="68">
        <v>42369</v>
      </c>
      <c r="C28" s="69">
        <v>9.6999999999999993</v>
      </c>
      <c r="D28" s="69">
        <v>13.2</v>
      </c>
      <c r="E28" s="102">
        <v>123514</v>
      </c>
      <c r="F28" s="102">
        <v>63579</v>
      </c>
      <c r="G28" s="102">
        <f t="shared" si="1"/>
        <v>59935</v>
      </c>
      <c r="H28" s="120">
        <f>SUM(F28)/E28*100</f>
        <v>51.475136421782139</v>
      </c>
      <c r="I28" s="121">
        <f>SUM(E28-F28)/E28*100</f>
        <v>48.524863578217854</v>
      </c>
      <c r="K28" s="76">
        <v>42035</v>
      </c>
      <c r="L28" s="75">
        <v>12</v>
      </c>
      <c r="M28" s="81">
        <v>15.2</v>
      </c>
    </row>
    <row r="29" spans="1:13" x14ac:dyDescent="0.2">
      <c r="A29" s="60"/>
      <c r="B29" s="68">
        <v>42735</v>
      </c>
      <c r="C29" s="69">
        <v>8.1999999999999993</v>
      </c>
      <c r="D29" s="69">
        <v>11.5</v>
      </c>
      <c r="E29" s="102">
        <v>107567</v>
      </c>
      <c r="F29" s="102">
        <v>56384</v>
      </c>
      <c r="G29" s="102">
        <f>SUM(E29-F29)</f>
        <v>51183</v>
      </c>
      <c r="H29" s="120">
        <f>SUM(F29)/E29*100</f>
        <v>52.417563007241995</v>
      </c>
      <c r="I29" s="121">
        <f t="shared" ref="I29:I36" si="3">SUM(E29-F29)/E29*100</f>
        <v>47.582436992758005</v>
      </c>
      <c r="K29" s="68">
        <v>42400</v>
      </c>
      <c r="L29" s="75">
        <v>8.3000000000000007</v>
      </c>
      <c r="M29" s="81">
        <v>11.6</v>
      </c>
    </row>
    <row r="30" spans="1:13" x14ac:dyDescent="0.2">
      <c r="A30" s="60"/>
      <c r="B30" s="68">
        <v>43100</v>
      </c>
      <c r="C30" s="69">
        <v>6.6</v>
      </c>
      <c r="D30" s="69">
        <v>9.6</v>
      </c>
      <c r="E30" s="102">
        <v>90972</v>
      </c>
      <c r="F30" s="102">
        <v>48619</v>
      </c>
      <c r="G30" s="102">
        <f t="shared" si="1"/>
        <v>42353</v>
      </c>
      <c r="H30" s="120">
        <f t="shared" ref="H30:H36" si="4">SUM(F30)/E30*100</f>
        <v>53.443916809567781</v>
      </c>
      <c r="I30" s="121">
        <f t="shared" si="3"/>
        <v>46.556083190432226</v>
      </c>
      <c r="K30" s="68">
        <v>42766</v>
      </c>
      <c r="L30" s="69">
        <v>8.5</v>
      </c>
      <c r="M30" s="81">
        <v>11.8</v>
      </c>
    </row>
    <row r="31" spans="1:13" x14ac:dyDescent="0.2">
      <c r="A31" s="60"/>
      <c r="B31" s="68">
        <v>43465</v>
      </c>
      <c r="C31" s="69">
        <v>5.8</v>
      </c>
      <c r="D31" s="69">
        <v>8.6999999999999993</v>
      </c>
      <c r="E31" s="102">
        <v>82933</v>
      </c>
      <c r="F31" s="102">
        <v>45024</v>
      </c>
      <c r="G31" s="102">
        <f t="shared" si="1"/>
        <v>37909</v>
      </c>
      <c r="H31" s="122">
        <f t="shared" si="4"/>
        <v>54.289607273341133</v>
      </c>
      <c r="I31" s="121">
        <f t="shared" si="3"/>
        <v>45.710392726658874</v>
      </c>
      <c r="K31" s="68">
        <v>43131</v>
      </c>
      <c r="L31" s="69">
        <v>6.8</v>
      </c>
      <c r="M31" s="81">
        <v>9.9</v>
      </c>
    </row>
    <row r="32" spans="1:13" x14ac:dyDescent="0.2">
      <c r="A32" s="60"/>
      <c r="B32" s="68">
        <v>43830</v>
      </c>
      <c r="C32" s="69">
        <v>5.2</v>
      </c>
      <c r="D32" s="69">
        <v>7.9</v>
      </c>
      <c r="E32" s="102">
        <v>75455</v>
      </c>
      <c r="F32" s="102">
        <v>40284</v>
      </c>
      <c r="G32" s="102">
        <f t="shared" si="1"/>
        <v>35171</v>
      </c>
      <c r="H32" s="120">
        <f t="shared" si="4"/>
        <v>53.388112119806507</v>
      </c>
      <c r="I32" s="121">
        <f t="shared" si="3"/>
        <v>46.611887880193493</v>
      </c>
      <c r="K32" s="68">
        <v>43496</v>
      </c>
      <c r="L32" s="69">
        <v>6.1</v>
      </c>
      <c r="M32" s="80">
        <v>9</v>
      </c>
    </row>
    <row r="33" spans="1:13" ht="12.75" thickBot="1" x14ac:dyDescent="0.25">
      <c r="A33" s="60"/>
      <c r="B33" s="123">
        <v>44196</v>
      </c>
      <c r="C33" s="89">
        <v>6.3</v>
      </c>
      <c r="D33" s="89">
        <v>9.1</v>
      </c>
      <c r="E33" s="84">
        <v>87326</v>
      </c>
      <c r="F33" s="84">
        <v>46036</v>
      </c>
      <c r="G33" s="84">
        <f t="shared" si="1"/>
        <v>41290</v>
      </c>
      <c r="H33" s="124">
        <f t="shared" si="4"/>
        <v>52.717403751460047</v>
      </c>
      <c r="I33" s="125">
        <f t="shared" si="3"/>
        <v>47.282596248539953</v>
      </c>
      <c r="K33" s="123">
        <v>43861</v>
      </c>
      <c r="L33" s="89">
        <v>5.5</v>
      </c>
      <c r="M33" s="90">
        <v>8.3000000000000007</v>
      </c>
    </row>
    <row r="34" spans="1:13" x14ac:dyDescent="0.2">
      <c r="A34" s="60"/>
      <c r="B34" s="126">
        <v>44561</v>
      </c>
      <c r="C34" s="127">
        <v>5.8</v>
      </c>
      <c r="D34" s="128">
        <v>9.9</v>
      </c>
      <c r="E34" s="129">
        <v>77291</v>
      </c>
      <c r="F34" s="129">
        <v>41090</v>
      </c>
      <c r="G34" s="129">
        <f t="shared" si="1"/>
        <v>36201</v>
      </c>
      <c r="H34" s="130">
        <f t="shared" si="4"/>
        <v>53.16272269733863</v>
      </c>
      <c r="I34" s="131">
        <f t="shared" si="3"/>
        <v>46.83727730266137</v>
      </c>
      <c r="K34" s="126">
        <v>44227</v>
      </c>
      <c r="L34" s="127">
        <v>6.5</v>
      </c>
      <c r="M34" s="132">
        <v>9.5</v>
      </c>
    </row>
    <row r="35" spans="1:13" x14ac:dyDescent="0.2">
      <c r="A35" s="60"/>
      <c r="B35" s="68">
        <v>44926</v>
      </c>
      <c r="C35" s="69">
        <v>5.2</v>
      </c>
      <c r="D35" s="69">
        <v>8.8000000000000007</v>
      </c>
      <c r="E35" s="102">
        <v>69046</v>
      </c>
      <c r="F35" s="102">
        <v>36088</v>
      </c>
      <c r="G35" s="102">
        <f t="shared" si="1"/>
        <v>32958</v>
      </c>
      <c r="H35" s="120">
        <f t="shared" si="4"/>
        <v>52.266604872114243</v>
      </c>
      <c r="I35" s="133">
        <f t="shared" si="3"/>
        <v>47.733395127885757</v>
      </c>
      <c r="K35" s="68">
        <v>44592</v>
      </c>
      <c r="L35" s="69">
        <v>5.9</v>
      </c>
      <c r="M35" s="81">
        <v>10.1</v>
      </c>
    </row>
    <row r="36" spans="1:13" ht="12.75" thickBot="1" x14ac:dyDescent="0.25">
      <c r="A36" s="60"/>
      <c r="B36" s="123">
        <v>45291</v>
      </c>
      <c r="C36" s="134">
        <v>5.0999999999999996</v>
      </c>
      <c r="D36" s="89">
        <v>8.6</v>
      </c>
      <c r="E36" s="85">
        <v>67653</v>
      </c>
      <c r="F36" s="85">
        <v>41090</v>
      </c>
      <c r="G36" s="85">
        <f t="shared" si="1"/>
        <v>26563</v>
      </c>
      <c r="H36" s="124">
        <f t="shared" si="4"/>
        <v>60.736404889657514</v>
      </c>
      <c r="I36" s="125">
        <f t="shared" si="3"/>
        <v>39.263595110342479</v>
      </c>
      <c r="K36" s="123">
        <v>44957</v>
      </c>
      <c r="L36" s="89">
        <v>5.5</v>
      </c>
      <c r="M36" s="90">
        <v>9.1999999999999993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1s.bezr.Pol</vt:lpstr>
      <vt:lpstr>1sort</vt:lpstr>
      <vt:lpstr>2s.bezr.pow.</vt:lpstr>
      <vt:lpstr>2sort</vt:lpstr>
      <vt:lpstr>XXXIII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Kocaj</dc:creator>
  <cp:keywords>Zbiorcze zestawienia statystyczna, prawa autorskie Piotr Kocaj</cp:keywords>
  <cp:lastModifiedBy>Bartosz Kostecki</cp:lastModifiedBy>
  <cp:lastPrinted>2024-03-28T12:12:10Z</cp:lastPrinted>
  <dcterms:created xsi:type="dcterms:W3CDTF">2016-08-02T05:46:03Z</dcterms:created>
  <dcterms:modified xsi:type="dcterms:W3CDTF">2024-05-27T11:34:37Z</dcterms:modified>
</cp:coreProperties>
</file>